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4c94d3695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ceTrack" sheetId="1" r:id="R71ee368b8843410f"/>
    <x:sheet xmlns:r="http://schemas.openxmlformats.org/officeDocument/2006/relationships" name="Control" sheetId="2" r:id="Ra4c8f42e7afb46f0"/>
    <x:sheet xmlns:r="http://schemas.openxmlformats.org/officeDocument/2006/relationships" name="Drivers" sheetId="3" r:id="R50ec4505d92a4e02"/>
    <x:sheet xmlns:r="http://schemas.openxmlformats.org/officeDocument/2006/relationships" name="TrackMap" sheetId="4" r:id="Rf46b051086bb4a57"/>
    <x:sheet xmlns:r="http://schemas.openxmlformats.org/officeDocument/2006/relationships" name="RaceData" sheetId="5" r:id="R5e06b7a182854052"/>
    <x:sheet xmlns:r="http://schemas.openxmlformats.org/officeDocument/2006/relationships" name="Live" sheetId="6" r:id="R6671de2776054c37"/>
    <x:sheet xmlns:r="http://schemas.openxmlformats.org/officeDocument/2006/relationships" name="ReadMe" sheetId="7" r:id="Re3cb7776152f4b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.0%"/>
    <x:numFmt numFmtId="202" formatCode="0.00000"/>
    <x:numFmt numFmtId="203" formatCode="0.00&quot; s&quot;"/>
  </x:numFmts>
  <x:fonts count="51">
    <x:font>
      <x:sz val="11"/>
      <x:name val="Carlito"/>
    </x:font>
    <x:font>
      <x:sz val="10"/>
      <x:color rgb="FF16313B"/>
      <x:name val="Microsoft YaHei"/>
    </x:font>
    <x:font>
      <x:b/>
      <x:sz val="22"/>
      <x:color rgb="FFFFFFFF"/>
      <x:name val="Aptos Display"/>
    </x:font>
    <x:font>
      <x:sz val="10"/>
      <x:color rgb="FFAFC8CF"/>
      <x:name val="Microsoft YaHei"/>
    </x:font>
    <x:font>
      <x:b/>
      <x:sz val="10"/>
      <x:color rgb="FF1267A5"/>
      <x:name val="Microsoft YaHei"/>
    </x:font>
    <x:font>
      <x:b/>
      <x:sz val="10"/>
      <x:color rgb="FF16313B"/>
      <x:name val="Microsoft YaHei"/>
    </x:font>
    <x:font>
      <x:sz val="11"/>
      <x:color rgb="FF755010"/>
      <x:name val="Microsoft YaHei"/>
    </x:font>
    <x:font>
      <x:b/>
      <x:sz val="10"/>
      <x:color rgb="FFFFFFFF"/>
      <x:name val="Microsoft YaHei"/>
    </x:font>
    <x:font>
      <x:sz val="10"/>
      <x:color rgb="FF1267A5"/>
      <x:name val="Microsoft YaHei"/>
    </x:font>
    <x:font>
      <x:sz val="11"/>
      <x:color rgb="FF1267A5"/>
      <x:name val="Carlito"/>
    </x:font>
    <x:font>
      <x:sz val="9"/>
      <x:color rgb="FF16313B"/>
      <x:name val="Microsoft YaHei"/>
    </x:font>
    <x:font>
      <x:b/>
      <x:sz val="9"/>
      <x:color rgb="FFFFFFFF"/>
      <x:name val="Microsoft YaHei"/>
    </x:font>
    <x:font>
      <x:b/>
      <x:sz val="11"/>
      <x:color rgb="FFFFFFFF"/>
      <x:name val="Carlito"/>
    </x:font>
    <x:font>
      <x:b/>
      <x:sz val="24"/>
      <x:color rgb="FFFFFFFF"/>
      <x:name val="Aptos Display"/>
    </x:font>
    <x:font>
      <x:sz val="9"/>
      <x:color rgb="FFB9D1D5"/>
      <x:name val="Microsoft YaHei"/>
    </x:font>
    <x:font>
      <x:b/>
      <x:sz val="11"/>
      <x:color rgb="FFD2F5E5"/>
      <x:name val="Aptos"/>
    </x:font>
    <x:font>
      <x:sz val="7"/>
      <x:color rgb="FF3D4144"/>
      <x:name val="Arial"/>
    </x:font>
    <x:font>
      <x:sz val="12"/>
      <x:color rgb="FFFFFFFF"/>
      <x:name val="Arial"/>
    </x:font>
    <x:font>
      <x:b/>
      <x:sz val="7"/>
      <x:color rgb="FF3D4144"/>
      <x:name val="Arial"/>
    </x:font>
    <x:font>
      <x:b/>
      <x:sz val="7"/>
      <x:color rgb="FFFFFFFF"/>
      <x:name val="Arial"/>
    </x:font>
    <x:font>
      <x:b/>
      <x:sz val="10"/>
      <x:color rgb="FFAF7D23"/>
      <x:name val="Arial"/>
    </x:font>
    <x:font>
      <x:b/>
      <x:sz val="8"/>
      <x:color rgb="FF0B151A"/>
      <x:name val="Aptos Display"/>
    </x:font>
    <x:font>
      <x:b/>
      <x:sz val="36"/>
      <x:color rgb="FF0B151A"/>
      <x:name val="Aptos Display"/>
    </x:font>
    <x:font>
      <x:b/>
      <x:sz val="15"/>
      <x:color rgb="FF0B151A"/>
      <x:name val="Aptos Display"/>
    </x:font>
    <x:font>
      <x:b/>
      <x:sz val="8"/>
      <x:color rgb="FF407C2C"/>
      <x:name val="Microsoft YaHei"/>
    </x:font>
    <x:font>
      <x:b/>
      <x:sz val="6"/>
      <x:color rgb="FF316329"/>
      <x:name val="Arial"/>
    </x:font>
    <x:font>
      <x:sz val="7"/>
      <x:color rgb="FF2C6424"/>
      <x:name val="Microsoft YaHei"/>
    </x:font>
    <x:font>
      <x:sz val="7"/>
      <x:color rgb="FF2C6424"/>
      <x:name val="Arial"/>
    </x:font>
    <x:font>
      <x:b/>
      <x:sz val="11"/>
      <x:color rgb="FFFFFFFF"/>
      <x:name val="Microsoft YaHei"/>
    </x:font>
    <x:font>
      <x:b/>
      <x:sz val="12"/>
      <x:color rgb="FF16313B"/>
      <x:name val="Microsoft YaHei"/>
    </x:font>
    <x:font>
      <x:b/>
      <x:sz val="23"/>
      <x:color rgb="FF1267A5"/>
      <x:name val="Aptos Display"/>
    </x:font>
    <x:font>
      <x:sz val="9"/>
      <x:color rgb="FF6D818A"/>
      <x:name val="Microsoft YaHei"/>
    </x:font>
    <x:font>
      <x:b/>
      <x:sz val="11"/>
      <x:color rgb="FF16313B"/>
      <x:name val="Microsoft YaHei"/>
    </x:font>
    <x:font>
      <x:b/>
      <x:sz val="8"/>
      <x:color rgb="FF6D818A"/>
      <x:name val="Microsoft YaHei"/>
    </x:font>
    <x:font>
      <x:b/>
      <x:sz val="15"/>
      <x:color rgb="FF16313B"/>
      <x:name val="Aptos Display"/>
    </x:font>
    <x:font>
      <x:sz val="9"/>
      <x:color rgb="FF16313B"/>
      <x:name val="Arial"/>
    </x:font>
    <x:font>
      <x:sz val="7"/>
      <x:color rgb="FF6D818A"/>
      <x:name val="Microsoft YaHei"/>
    </x:font>
    <x:font>
      <x:sz val="7"/>
      <x:color rgb="FF65767B"/>
      <x:name val="Arial"/>
    </x:font>
    <x:font>
      <x:b/>
      <x:sz val="11"/>
      <x:color rgb="FFFFFFFF"/>
      <x:name val="Arial"/>
    </x:font>
    <x:font>
      <x:sz val="8"/>
      <x:color rgb="FF6D818A"/>
      <x:name val="Microsoft YaHei"/>
    </x:font>
    <x:font>
      <x:sz val="9"/>
      <x:color rgb="FFB5D0D4"/>
      <x:name val="Microsoft YaHei"/>
    </x:font>
    <x:font>
      <x:b/>
      <x:sz val="10"/>
      <x:color rgb="FFE33B42"/>
      <x:name val="Microsoft YaHei"/>
    </x:font>
    <x:font>
      <x:b/>
      <x:sz val="10"/>
      <x:color rgb="FF1976D2"/>
      <x:name val="Microsoft YaHei"/>
    </x:font>
    <x:font>
      <x:b/>
      <x:sz val="10"/>
      <x:color rgb="FFE88713"/>
      <x:name val="Microsoft YaHei"/>
    </x:font>
    <x:font>
      <x:b/>
      <x:sz val="10"/>
      <x:color rgb="FF864DD2"/>
      <x:name val="Microsoft YaHei"/>
    </x:font>
    <x:font>
      <x:b/>
      <x:sz val="10"/>
      <x:color rgb="FF079E8A"/>
      <x:name val="Microsoft YaHei"/>
    </x:font>
    <x:font>
      <x:b/>
      <x:sz val="10"/>
      <x:color rgb="FFE34892"/>
      <x:name val="Microsoft YaHei"/>
    </x:font>
    <x:font>
      <x:b/>
      <x:sz val="9"/>
      <x:color rgb="FF16313B"/>
      <x:name val="Microsoft YaHei"/>
    </x:font>
    <x:font>
      <x:sz val="9"/>
      <x:color rgb="FF1267A5"/>
      <x:name val="Arial"/>
    </x:font>
    <x:font>
      <x:b/>
      <x:sz val="8"/>
      <x:color rgb="FF3D4144"/>
      <x:name val="Arial"/>
    </x:font>
    <x:font>
      <x:b/>
      <x:sz val="8"/>
      <x:color rgb="FFFFFFFF"/>
      <x:name val="Arial"/>
    </x:font>
  </x:fonts>
  <x:fills count="27">
    <x:fill>
      <x:patternFill patternType="none"/>
    </x:fill>
    <x:fill>
      <x:patternFill patternType="gray125"/>
    </x:fill>
    <x:fill>
      <x:patternFill patternType="solid">
        <x:fgColor rgb="FF071F2A"/>
      </x:patternFill>
    </x:fill>
    <x:fill>
      <x:patternFill patternType="solid">
        <x:fgColor rgb="FFFFFFFF"/>
      </x:patternFill>
    </x:fill>
    <x:fill>
      <x:patternFill patternType="solid">
        <x:fgColor rgb="FFE9F4FF"/>
      </x:patternFill>
    </x:fill>
    <x:fill>
      <x:patternFill patternType="solid">
        <x:fgColor rgb="FFEEF2F3"/>
      </x:patternFill>
    </x:fill>
    <x:fill>
      <x:patternFill patternType="solid">
        <x:fgColor rgb="FFFFF1CF"/>
      </x:patternFill>
    </x:fill>
    <x:fill>
      <x:patternFill patternType="solid">
        <x:fgColor rgb="FF123541"/>
      </x:patternFill>
    </x:fill>
    <x:fill>
      <x:patternFill patternType="solid">
        <x:fgColor rgb="FFE33B42"/>
      </x:patternFill>
    </x:fill>
    <x:fill>
      <x:patternFill patternType="solid">
        <x:fgColor rgb="FF1976D2"/>
      </x:patternFill>
    </x:fill>
    <x:fill>
      <x:patternFill patternType="solid">
        <x:fgColor rgb="FFE88713"/>
      </x:patternFill>
    </x:fill>
    <x:fill>
      <x:patternFill patternType="solid">
        <x:fgColor rgb="FF864DD2"/>
      </x:patternFill>
    </x:fill>
    <x:fill>
      <x:patternFill patternType="solid">
        <x:fgColor rgb="FF079E8A"/>
      </x:patternFill>
    </x:fill>
    <x:fill>
      <x:patternFill patternType="solid">
        <x:fgColor rgb="FFE34892"/>
      </x:patternFill>
    </x:fill>
    <x:fill>
      <x:patternFill patternType="solid">
        <x:fgColor rgb="FFF2F7F8"/>
      </x:patternFill>
    </x:fill>
    <x:fill>
      <x:patternFill patternType="solid">
        <x:fgColor rgb="FFF1F5F6"/>
      </x:patternFill>
    </x:fill>
    <x:fill>
      <x:patternFill patternType="solid">
        <x:fgColor rgb="FF174F55"/>
      </x:patternFill>
    </x:fill>
    <x:fill>
      <x:patternFill patternType="solid">
        <x:fgColor rgb="FFF3A300"/>
      </x:patternFill>
    </x:fill>
    <x:fill>
      <x:patternFill patternType="solid">
        <x:fgColor rgb="FF88CC43"/>
      </x:patternFill>
    </x:fill>
    <x:fill>
      <x:patternFill patternType="solid">
        <x:fgColor rgb="FFB6B8BA"/>
      </x:patternFill>
    </x:fill>
    <x:fill>
      <x:patternFill patternType="solid">
        <x:fgColor rgb="FFFFFDF8"/>
      </x:patternFill>
    </x:fill>
    <x:fill>
      <x:patternFill patternType="solid">
        <x:fgColor rgb="FFF0141A"/>
      </x:patternFill>
    </x:fill>
    <x:fill>
      <x:patternFill patternType="solid">
        <x:fgColor rgb="FF4B5454"/>
      </x:patternFill>
    </x:fill>
    <x:fill>
      <x:patternFill patternType="solid">
        <x:fgColor rgb="FFE6E8E7"/>
      </x:patternFill>
    </x:fill>
    <x:fill>
      <x:patternFill patternType="solid">
        <x:fgColor rgb="FF7FC33B"/>
      </x:patternFill>
    </x:fill>
    <x:fill>
      <x:patternFill patternType="solid">
        <x:fgColor rgb="FFF2F6F7"/>
      </x:patternFill>
    </x:fill>
    <x:fill>
      <x:patternFill patternType="solid">
        <x:fgColor rgb="FFF1F6F7"/>
      </x:patternFill>
    </x:fill>
  </x:fills>
  <x:borders count="72">
    <x:border/>
    <x:border/>
    <x:border>
      <x:left style="hair">
        <x:color rgb="FF363C35"/>
      </x:left>
      <x:top style="hair">
        <x:color rgb="FF363C35"/>
      </x:top>
      <x:bottom style="hair">
        <x:color rgb="FF363C35"/>
      </x:bottom>
    </x:border>
    <x:border>
      <x:top style="hair">
        <x:color rgb="FF363C35"/>
      </x:top>
      <x:bottom style="hair">
        <x:color rgb="FF363C35"/>
      </x:bottom>
    </x:border>
    <x:border>
      <x:right style="hair">
        <x:color rgb="FF363C35"/>
      </x:right>
      <x:top style="hair">
        <x:color rgb="FF363C35"/>
      </x:top>
      <x:bottom style="hair">
        <x:color rgb="FF363C35"/>
      </x:bottom>
    </x:border>
    <x:border>
      <x:left style="hair">
        <x:color rgb="FF363C35"/>
      </x:left>
      <x:top style="hair">
        <x:color rgb="FF363C35"/>
      </x:top>
      <x:bottom style="hair">
        <x:color rgb="FF363C35"/>
      </x:bottom>
    </x:border>
    <x:border>
      <x:top style="hair">
        <x:color rgb="FF363C35"/>
      </x:top>
      <x:bottom style="hair">
        <x:color rgb="FF363C35"/>
      </x:bottom>
    </x:border>
    <x:border>
      <x:right style="hair">
        <x:color rgb="FF363C35"/>
      </x:right>
      <x:top style="hair">
        <x:color rgb="FF363C35"/>
      </x:top>
      <x:bottom style="hair">
        <x:color rgb="FF363C35"/>
      </x:bottom>
    </x:border>
    <x:border>
      <x:left style="hair">
        <x:color rgb="FF363C35"/>
      </x:left>
      <x:right style="hair">
        <x:color rgb="FF363C35"/>
      </x:right>
      <x:top style="hair">
        <x:color rgb="FF363C35"/>
      </x:top>
      <x:bottom style="hair">
        <x:color rgb="FF363C35"/>
      </x:bottom>
    </x:border>
    <x:border>
      <x:left style="hair">
        <x:color rgb="FF363C35"/>
      </x:left>
      <x:right style="hair">
        <x:color rgb="FF363C35"/>
      </x:right>
    </x:border>
    <x:border>
      <x:left style="hair">
        <x:color rgb="FF363C35"/>
      </x:left>
      <x:right style="hair">
        <x:color rgb="FF363C35"/>
      </x:right>
      <x:bottom style="hair">
        <x:color rgb="FF363C35"/>
      </x:bottom>
    </x:border>
    <x:border>
      <x:left style="hair">
        <x:color rgb="FF363C35"/>
      </x:left>
      <x:right style="hair">
        <x:color rgb="FF363C35"/>
      </x:right>
      <x:top style="hair">
        <x:color rgb="FF363C35"/>
      </x:top>
      <x:bottom style="hair">
        <x:color rgb="FF363C35"/>
      </x:bottom>
    </x:border>
    <x:border>
      <x:left style="hair">
        <x:color rgb="FF363C35"/>
      </x:left>
      <x:right style="hair">
        <x:color rgb="FF363C35"/>
      </x:right>
    </x:border>
    <x:border>
      <x:left style="hair">
        <x:color rgb="FF363C35"/>
      </x:left>
      <x:right style="hair">
        <x:color rgb="FF363C35"/>
      </x:right>
      <x:bottom style="hair">
        <x:color rgb="FF363C35"/>
      </x:bottom>
    </x:border>
    <x:border>
      <x:left style="hair">
        <x:color rgb="FF363C35"/>
      </x:left>
      <x:right style="hair">
        <x:color rgb="FF363C35"/>
      </x:right>
      <x:top style="hair">
        <x:color rgb="FF363C35"/>
      </x:top>
    </x:border>
    <x:border>
      <x:left style="hair">
        <x:color rgb="FF363C35"/>
      </x:left>
      <x:right style="hair">
        <x:color rgb="FF363C35"/>
      </x:right>
      <x:top style="hair">
        <x:color rgb="FF363C35"/>
      </x:top>
    </x:border>
    <x:border>
      <x:left style="thin">
        <x:color rgb="FF253838"/>
      </x:left>
      <x:top style="thin">
        <x:color rgb="FF253838"/>
      </x:top>
    </x:border>
    <x:border>
      <x:right style="thin">
        <x:color rgb="FF253838"/>
      </x:right>
      <x:top style="thin">
        <x:color rgb="FF253838"/>
      </x:top>
    </x:border>
    <x:border>
      <x:left style="thin">
        <x:color rgb="FF253838"/>
      </x:left>
    </x:border>
    <x:border>
      <x:right style="thin">
        <x:color rgb="FF253838"/>
      </x:right>
    </x:border>
    <x:border>
      <x:left style="thin">
        <x:color rgb="FF253838"/>
      </x:left>
      <x:bottom style="thin">
        <x:color rgb="FF253838"/>
      </x:bottom>
    </x:border>
    <x:border>
      <x:right style="thin">
        <x:color rgb="FF253838"/>
      </x:right>
      <x:bottom style="thin">
        <x:color rgb="FF253838"/>
      </x:bottom>
    </x:border>
    <x:border>
      <x:left style="thin">
        <x:color rgb="FF253838"/>
      </x:left>
      <x:top style="thin">
        <x:color rgb="FF253838"/>
      </x:top>
    </x:border>
    <x:border>
      <x:right style="thin">
        <x:color rgb="FF253838"/>
      </x:right>
      <x:top style="thin">
        <x:color rgb="FF253838"/>
      </x:top>
    </x:border>
    <x:border>
      <x:left style="thin">
        <x:color rgb="FF253838"/>
      </x:left>
    </x:border>
    <x:border>
      <x:right style="thin">
        <x:color rgb="FF253838"/>
      </x:right>
    </x:border>
    <x:border>
      <x:left style="thin">
        <x:color rgb="FF253838"/>
      </x:left>
      <x:bottom style="thin">
        <x:color rgb="FF253838"/>
      </x:bottom>
    </x:border>
    <x:border>
      <x:right style="thin">
        <x:color rgb="FF253838"/>
      </x:right>
      <x:bottom style="thin">
        <x:color rgb="FF253838"/>
      </x:bottom>
    </x:border>
    <x:border>
      <x:left style="hair">
        <x:color rgb="FF70AD32"/>
      </x:left>
      <x:top style="hair">
        <x:color rgb="FF70AD32"/>
      </x:top>
    </x:border>
    <x:border>
      <x:top style="hair">
        <x:color rgb="FF70AD32"/>
      </x:top>
    </x:border>
    <x:border>
      <x:right style="hair">
        <x:color rgb="FF70AD32"/>
      </x:right>
      <x:top style="hair">
        <x:color rgb="FF70AD32"/>
      </x:top>
    </x:border>
    <x:border>
      <x:left style="hair">
        <x:color rgb="FF70AD32"/>
      </x:left>
    </x:border>
    <x:border>
      <x:right style="hair">
        <x:color rgb="FF70AD32"/>
      </x:right>
    </x:border>
    <x:border>
      <x:left style="hair">
        <x:color rgb="FF70AD32"/>
      </x:left>
      <x:bottom style="hair">
        <x:color rgb="FF70AD32"/>
      </x:bottom>
    </x:border>
    <x:border>
      <x:bottom style="hair">
        <x:color rgb="FF70AD32"/>
      </x:bottom>
    </x:border>
    <x:border>
      <x:right style="hair">
        <x:color rgb="FF70AD32"/>
      </x:right>
      <x:bottom style="hair">
        <x:color rgb="FF70AD32"/>
      </x:bottom>
    </x:border>
    <x:border>
      <x:left style="hair">
        <x:color rgb="FF70AD32"/>
      </x:left>
      <x:top style="hair">
        <x:color rgb="FF70AD32"/>
      </x:top>
    </x:border>
    <x:border>
      <x:top style="hair">
        <x:color rgb="FF70AD32"/>
      </x:top>
    </x:border>
    <x:border>
      <x:right style="hair">
        <x:color rgb="FF70AD32"/>
      </x:right>
      <x:top style="hair">
        <x:color rgb="FF70AD32"/>
      </x:top>
    </x:border>
    <x:border>
      <x:left style="hair">
        <x:color rgb="FF70AD32"/>
      </x:left>
    </x:border>
    <x:border>
      <x:right style="hair">
        <x:color rgb="FF70AD32"/>
      </x:right>
    </x:border>
    <x:border>
      <x:left style="hair">
        <x:color rgb="FF70AD32"/>
      </x:left>
      <x:bottom style="hair">
        <x:color rgb="FF70AD32"/>
      </x:bottom>
    </x:border>
    <x:border>
      <x:bottom style="hair">
        <x:color rgb="FF70AD32"/>
      </x:bottom>
    </x:border>
    <x:border>
      <x:right style="hair">
        <x:color rgb="FF70AD32"/>
      </x:right>
      <x:bottom style="hair">
        <x:color rgb="FF70AD32"/>
      </x:bottom>
    </x:border>
    <x:border>
      <x:left style="thin">
        <x:color rgb="FFD5E0E3"/>
      </x:left>
      <x:top style="thin">
        <x:color rgb="FFD5E0E3"/>
      </x:top>
    </x:border>
    <x:border>
      <x:top style="thin">
        <x:color rgb="FFD5E0E3"/>
      </x:top>
    </x:border>
    <x:border>
      <x:right style="thin">
        <x:color rgb="FFD5E0E3"/>
      </x:right>
      <x:top style="thin">
        <x:color rgb="FFD5E0E3"/>
      </x:top>
    </x:border>
    <x:border>
      <x:left style="thin">
        <x:color rgb="FFD5E0E3"/>
      </x:left>
    </x:border>
    <x:border>
      <x:right style="thin">
        <x:color rgb="FFD5E0E3"/>
      </x:right>
    </x:border>
    <x:border>
      <x:left style="thin">
        <x:color rgb="FFD5E0E3"/>
      </x:left>
      <x:bottom style="thin">
        <x:color rgb="FFD5E0E3"/>
      </x:bottom>
    </x:border>
    <x:border>
      <x:bottom style="thin">
        <x:color rgb="FFD5E0E3"/>
      </x:bottom>
    </x:border>
    <x:border>
      <x:right style="thin">
        <x:color rgb="FFD5E0E3"/>
      </x:right>
      <x:bottom style="thin">
        <x:color rgb="FFD5E0E3"/>
      </x:bottom>
    </x:border>
    <x:border>
      <x:left style="thin">
        <x:color rgb="FFD5E0E3"/>
      </x:left>
      <x:top style="thin">
        <x:color rgb="FFD5E0E3"/>
      </x:top>
    </x:border>
    <x:border>
      <x:top style="thin">
        <x:color rgb="FFD5E0E3"/>
      </x:top>
    </x:border>
    <x:border>
      <x:right style="thin">
        <x:color rgb="FFD5E0E3"/>
      </x:right>
      <x:top style="thin">
        <x:color rgb="FFD5E0E3"/>
      </x:top>
    </x:border>
    <x:border>
      <x:left style="thin">
        <x:color rgb="FFD5E0E3"/>
      </x:left>
    </x:border>
    <x:border>
      <x:right style="thin">
        <x:color rgb="FFD5E0E3"/>
      </x:right>
    </x:border>
    <x:border>
      <x:left style="thin">
        <x:color rgb="FFD5E0E3"/>
      </x:left>
      <x:bottom style="thin">
        <x:color rgb="FFD5E0E3"/>
      </x:bottom>
    </x:border>
    <x:border>
      <x:bottom style="thin">
        <x:color rgb="FFD5E0E3"/>
      </x:bottom>
    </x:border>
    <x:border>
      <x:right style="thin">
        <x:color rgb="FFD5E0E3"/>
      </x:right>
      <x:bottom style="thin">
        <x:color rgb="FFD5E0E3"/>
      </x:bottom>
    </x:border>
    <x:border>
      <x:left style="thin">
        <x:color rgb="FF94BFDA"/>
      </x:left>
      <x:top style="thin">
        <x:color rgb="FF94BFDA"/>
      </x:top>
    </x:border>
    <x:border>
      <x:top style="thin">
        <x:color rgb="FF94BFDA"/>
      </x:top>
    </x:border>
    <x:border>
      <x:right style="thin">
        <x:color rgb="FF94BFDA"/>
      </x:right>
      <x:top style="thin">
        <x:color rgb="FF94BFDA"/>
      </x:top>
    </x:border>
    <x:border>
      <x:left style="thin">
        <x:color rgb="FF94BFDA"/>
      </x:left>
      <x:bottom style="thin">
        <x:color rgb="FF94BFDA"/>
      </x:bottom>
    </x:border>
    <x:border>
      <x:bottom style="thin">
        <x:color rgb="FF94BFDA"/>
      </x:bottom>
    </x:border>
    <x:border>
      <x:right style="thin">
        <x:color rgb="FF94BFDA"/>
      </x:right>
      <x:bottom style="thin">
        <x:color rgb="FF94BFDA"/>
      </x:bottom>
    </x:border>
    <x:border>
      <x:left style="thin">
        <x:color rgb="FF94BFDA"/>
      </x:left>
      <x:top style="thin">
        <x:color rgb="FF94BFDA"/>
      </x:top>
    </x:border>
    <x:border>
      <x:top style="thin">
        <x:color rgb="FF94BFDA"/>
      </x:top>
    </x:border>
    <x:border>
      <x:right style="thin">
        <x:color rgb="FF94BFDA"/>
      </x:right>
      <x:top style="thin">
        <x:color rgb="FF94BFDA"/>
      </x:top>
    </x:border>
    <x:border>
      <x:left style="thin">
        <x:color rgb="FF94BFDA"/>
      </x:left>
      <x:bottom style="thin">
        <x:color rgb="FF94BFDA"/>
      </x:bottom>
    </x:border>
    <x:border>
      <x:bottom style="thin">
        <x:color rgb="FF94BFDA"/>
      </x:bottom>
    </x:border>
    <x:border>
      <x:right style="thin">
        <x:color rgb="FF94BFDA"/>
      </x:right>
      <x:bottom style="thin">
        <x:color rgb="FF94BFDA"/>
      </x:bottom>
    </x:border>
  </x:borders>
  <x:cellStyleXfs count="1">
    <x:xf numFmtId="0" fontId="0" fillId="0" borderId="0"/>
  </x:cellStyleXfs>
  <x:cellXfs count="42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0" fontId="6" fillId="6" borderId="1" xfId="0" applyNumberFormat="1" applyFont="1" applyFill="1" applyBorder="1" applyAlignment="1">
      <x:alignment vertical="center"/>
    </x:xf>
    <x:xf numFmtId="0" fontId="6" fillId="6" borderId="1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/>
    </x:xf>
    <x:xf numFmtId="0" fontId="7" fillId="7" borderId="1" xfId="0" applyNumberFormat="1" applyFont="1" applyFill="1" applyBorder="1" applyAlignment="1">
      <x:alignment vertical="center"/>
    </x:xf>
    <x:xf numFmtId="0" fontId="7" fillId="7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8" fillId="4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/>
    </x:xf>
    <x:xf numFmtId="0" fontId="7" fillId="8" borderId="0" xfId="0" applyNumberFormat="1" applyFont="1" applyFill="1" applyBorder="1" applyAlignment="1">
      <x:alignment vertical="center"/>
    </x:xf>
    <x:xf numFmtId="0" fontId="7" fillId="8" borderId="1" xfId="0" applyNumberFormat="1" applyFont="1" applyFill="1" applyBorder="1" applyAlignment="1">
      <x:alignment vertical="center"/>
    </x:xf>
    <x:xf numFmtId="0" fontId="7" fillId="9" borderId="0" xfId="0" applyNumberFormat="1" applyFont="1" applyFill="1" applyBorder="1" applyAlignment="1">
      <x:alignment vertical="center"/>
    </x:xf>
    <x:xf numFmtId="0" fontId="7" fillId="9" borderId="1" xfId="0" applyNumberFormat="1" applyFont="1" applyFill="1" applyBorder="1" applyAlignment="1">
      <x:alignment vertical="center"/>
    </x:xf>
    <x:xf numFmtId="0" fontId="7" fillId="10" borderId="0" xfId="0" applyNumberFormat="1" applyFont="1" applyFill="1" applyBorder="1" applyAlignment="1">
      <x:alignment vertical="center"/>
    </x:xf>
    <x:xf numFmtId="0" fontId="7" fillId="10" borderId="1" xfId="0" applyNumberFormat="1" applyFont="1" applyFill="1" applyBorder="1" applyAlignment="1">
      <x:alignment vertical="center"/>
    </x:xf>
    <x:xf numFmtId="0" fontId="7" fillId="11" borderId="0" xfId="0" applyNumberFormat="1" applyFont="1" applyFill="1" applyBorder="1" applyAlignment="1">
      <x:alignment vertical="center"/>
    </x:xf>
    <x:xf numFmtId="0" fontId="7" fillId="11" borderId="1" xfId="0" applyNumberFormat="1" applyFont="1" applyFill="1" applyBorder="1" applyAlignment="1">
      <x:alignment vertical="center"/>
    </x:xf>
    <x:xf numFmtId="0" fontId="7" fillId="12" borderId="0" xfId="0" applyNumberFormat="1" applyFont="1" applyFill="1" applyBorder="1" applyAlignment="1">
      <x:alignment vertical="center"/>
    </x:xf>
    <x:xf numFmtId="0" fontId="7" fillId="12" borderId="1" xfId="0" applyNumberFormat="1" applyFont="1" applyFill="1" applyBorder="1" applyAlignment="1">
      <x:alignment vertical="center"/>
    </x:xf>
    <x:xf numFmtId="0" fontId="7" fillId="13" borderId="0" xfId="0" applyNumberFormat="1" applyFont="1" applyFill="1" applyBorder="1" applyAlignment="1">
      <x:alignment vertical="center"/>
    </x:xf>
    <x:xf numFmtId="0" fontId="7" fillId="13" borderId="1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  <x:xf numFmtId="200" fontId="8" fillId="4" borderId="1" xfId="0" applyNumberFormat="1" applyFont="1" applyFill="1" applyBorder="1" applyAlignment="1">
      <x:alignment vertical="center"/>
    </x:xf>
    <x:xf numFmtId="0" fontId="1" fillId="14" borderId="0" xfId="0" applyNumberFormat="1" applyFont="1" applyFill="1" applyBorder="1" applyAlignment="1">
      <x:alignment vertical="center"/>
    </x:xf>
    <x:xf numFmtId="0" fontId="1" fillId="14" borderId="0" xfId="0" applyNumberFormat="1" applyFont="1" applyFill="1" applyBorder="1" applyAlignment="1">
      <x:alignment vertical="center" wrapText="1"/>
    </x:xf>
    <x:xf numFmtId="0" fontId="1" fillId="14" borderId="1" xfId="0" applyNumberFormat="1" applyFont="1" applyFill="1" applyBorder="1" applyAlignment="1">
      <x:alignment vertical="center"/>
    </x:xf>
    <x:xf numFmtId="0" fontId="1" fillId="14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9" fillId="4" borderId="0" xfId="0" applyNumberFormat="1" applyFont="1" applyFill="1" applyBorder="1"/>
    <x:xf numFmtId="0" fontId="9" fillId="4" borderId="1" xfId="0" applyNumberFormat="1" applyFont="1" applyFill="1" applyBorder="1"/>
    <x:xf numFmtId="200" fontId="9" fillId="4" borderId="0" xfId="0" applyNumberFormat="1" applyFont="1" applyFill="1" applyBorder="1"/>
    <x:xf numFmtId="200" fontId="9" fillId="4" borderId="1" xfId="0" applyNumberFormat="1" applyFont="1" applyFill="1" applyBorder="1"/>
    <x:xf numFmtId="0" fontId="10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/>
    <x:xf numFmtId="0" fontId="10" fillId="0" borderId="1" xfId="0" applyNumberFormat="1" applyFont="1" applyFill="1" applyBorder="1" applyAlignment="1">
      <x:alignment vertical="center"/>
    </x:xf>
    <x:xf numFmtId="0" fontId="10" fillId="0" borderId="1" xfId="0" applyNumberFormat="1" applyFont="1" applyFill="1" applyBorder="1"/>
    <x:xf numFmtId="0" fontId="10" fillId="7" borderId="0" xfId="0" applyNumberFormat="1" applyFont="1" applyFill="1" applyBorder="1" applyAlignment="1">
      <x:alignment vertical="center"/>
    </x:xf>
    <x:xf numFmtId="0" fontId="11" fillId="7" borderId="0" xfId="0" applyNumberFormat="1" applyFont="1" applyFill="1" applyBorder="1" applyAlignment="1">
      <x:alignment vertical="center"/>
    </x:xf>
    <x:xf numFmtId="0" fontId="11" fillId="7" borderId="0" xfId="0" applyNumberFormat="1" applyFont="1" applyFill="1" applyBorder="1" applyAlignment="1">
      <x:alignment vertical="center" wrapText="1"/>
    </x:xf>
    <x:xf numFmtId="0" fontId="10" fillId="7" borderId="1" xfId="0" applyNumberFormat="1" applyFont="1" applyFill="1" applyBorder="1" applyAlignment="1">
      <x:alignment vertical="center"/>
    </x:xf>
    <x:xf numFmtId="0" fontId="11" fillId="7" borderId="1" xfId="0" applyNumberFormat="1" applyFont="1" applyFill="1" applyBorder="1" applyAlignment="1">
      <x:alignment vertical="center"/>
    </x:xf>
    <x:xf numFmtId="0" fontId="11" fillId="7" borderId="1" xfId="0" applyNumberFormat="1" applyFont="1" applyFill="1" applyBorder="1" applyAlignment="1">
      <x:alignment vertical="center" wrapText="1"/>
    </x:xf>
    <x:xf numFmtId="200" fontId="10" fillId="0" borderId="0" xfId="0" applyNumberFormat="1" applyFont="1" applyFill="1" applyBorder="1" applyAlignment="1">
      <x:alignment vertical="center"/>
    </x:xf>
    <x:xf numFmtId="200" fontId="10" fillId="0" borderId="0" xfId="0" applyNumberFormat="1" applyFont="1" applyFill="1" applyBorder="1"/>
    <x:xf numFmtId="200" fontId="10" fillId="0" borderId="1" xfId="0" applyNumberFormat="1" applyFont="1" applyFill="1" applyBorder="1" applyAlignment="1">
      <x:alignment vertical="center"/>
    </x:xf>
    <x:xf numFmtId="200" fontId="10" fillId="0" borderId="1" xfId="0" applyNumberFormat="1" applyFont="1" applyFill="1" applyBorder="1"/>
    <x:xf numFmtId="201" fontId="10" fillId="0" borderId="0" xfId="0" applyNumberFormat="1" applyFont="1" applyFill="1" applyBorder="1" applyAlignment="1">
      <x:alignment vertical="center"/>
    </x:xf>
    <x:xf numFmtId="201" fontId="10" fillId="0" borderId="0" xfId="0" applyNumberFormat="1" applyFont="1" applyFill="1" applyBorder="1"/>
    <x:xf numFmtId="201" fontId="10" fillId="0" borderId="1" xfId="0" applyNumberFormat="1" applyFont="1" applyFill="1" applyBorder="1" applyAlignment="1">
      <x:alignment vertical="center"/>
    </x:xf>
    <x:xf numFmtId="201" fontId="10" fillId="0" borderId="1" xfId="0" applyNumberFormat="1" applyFont="1" applyFill="1" applyBorder="1"/>
    <x:xf numFmtId="202" fontId="10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/>
    <x:xf numFmtId="202" fontId="10" fillId="0" borderId="1" xfId="0" applyNumberFormat="1" applyFont="1" applyFill="1" applyBorder="1" applyAlignment="1">
      <x:alignment vertical="center"/>
    </x:xf>
    <x:xf numFmtId="202" fontId="10" fillId="0" borderId="1" xfId="0" applyNumberFormat="1" applyFont="1" applyFill="1" applyBorder="1"/>
    <x:xf numFmtId="0" fontId="0" fillId="7" borderId="0" xfId="0" applyNumberFormat="1" applyFont="1" applyFill="1" applyBorder="1"/>
    <x:xf numFmtId="0" fontId="12" fillId="7" borderId="0" xfId="0" applyNumberFormat="1" applyFont="1" applyFill="1" applyBorder="1"/>
    <x:xf numFmtId="0" fontId="12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12" fillId="7" borderId="1" xfId="0" applyNumberFormat="1" applyFont="1" applyFill="1" applyBorder="1"/>
    <x:xf numFmtId="0" fontId="12" fillId="7" borderId="1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1" xfId="0" applyNumberFormat="1" applyFont="1" applyFill="1" applyBorder="1" applyAlignment="1">
      <x:alignment vertical="center"/>
    </x:xf>
    <x:xf numFmtId="0" fontId="0" fillId="15" borderId="0" xfId="0" applyNumberFormat="1" applyFont="1" applyFill="1" applyBorder="1"/>
    <x:xf numFmtId="0" fontId="10" fillId="15" borderId="0" xfId="0" applyNumberFormat="1" applyFont="1" applyFill="1" applyBorder="1"/>
    <x:xf numFmtId="0" fontId="10" fillId="15" borderId="0" xfId="0" applyNumberFormat="1" applyFont="1" applyFill="1" applyBorder="1" applyAlignment="1">
      <x:alignment horizontal="center"/>
    </x:xf>
    <x:xf numFmtId="0" fontId="10" fillId="15" borderId="0" xfId="0" applyNumberFormat="1" applyFont="1" applyFill="1" applyBorder="1" applyAlignment="1">
      <x:alignment horizontal="center" vertical="center"/>
    </x:xf>
    <x:xf numFmtId="0" fontId="0" fillId="15" borderId="1" xfId="0" applyNumberFormat="1" applyFont="1" applyFill="1" applyBorder="1"/>
    <x:xf numFmtId="0" fontId="10" fillId="15" borderId="1" xfId="0" applyNumberFormat="1" applyFont="1" applyFill="1" applyBorder="1"/>
    <x:xf numFmtId="0" fontId="10" fillId="15" borderId="1" xfId="0" applyNumberFormat="1" applyFont="1" applyFill="1" applyBorder="1" applyAlignment="1">
      <x:alignment horizontal="center"/>
    </x:xf>
    <x:xf numFmtId="0" fontId="10" fillId="15" borderId="1" xfId="0" applyNumberFormat="1" applyFont="1" applyFill="1" applyBorder="1" applyAlignment="1">
      <x:alignment horizontal="center" vertical="center"/>
    </x:xf>
    <x:xf numFmtId="0" fontId="10" fillId="2" borderId="0" xfId="0" applyNumberFormat="1" applyFont="1" applyFill="1" applyBorder="1" applyAlignment="1">
      <x:alignment horizontal="center" vertical="center"/>
    </x:xf>
    <x:xf numFmtId="0" fontId="10" fillId="2" borderId="1" xfId="0" applyNumberFormat="1" applyFont="1" applyFill="1" applyBorder="1" applyAlignment="1">
      <x:alignment horizontal="center" vertical="center"/>
    </x:xf>
    <x:xf numFmtId="0" fontId="13" fillId="2" borderId="0" xfId="0" applyNumberFormat="1" applyFont="1" applyFill="1" applyBorder="1" applyAlignment="1">
      <x:alignment horizontal="center" vertical="center"/>
    </x:xf>
    <x:xf numFmtId="0" fontId="13" fillId="2" borderId="0" xfId="0" applyNumberFormat="1" applyFont="1" applyFill="1" applyBorder="1" applyAlignment="1">
      <x:alignment horizontal="left" vertical="center"/>
    </x:xf>
    <x:xf numFmtId="0" fontId="13" fillId="2" borderId="1" xfId="0" applyNumberFormat="1" applyFont="1" applyFill="1" applyBorder="1" applyAlignment="1">
      <x:alignment horizontal="center" vertical="center"/>
    </x:xf>
    <x:xf numFmtId="0" fontId="13" fillId="2" borderId="1" xfId="0" applyNumberFormat="1" applyFont="1" applyFill="1" applyBorder="1" applyAlignment="1">
      <x:alignment horizontal="left" vertical="center"/>
    </x:xf>
    <x:xf numFmtId="0" fontId="14" fillId="2" borderId="0" xfId="0" applyNumberFormat="1" applyFont="1" applyFill="1" applyBorder="1" applyAlignment="1">
      <x:alignment horizontal="center" vertical="center"/>
    </x:xf>
    <x:xf numFmtId="0" fontId="14" fillId="2" borderId="0" xfId="0" applyNumberFormat="1" applyFont="1" applyFill="1" applyBorder="1" applyAlignment="1">
      <x:alignment horizontal="left" vertical="center"/>
    </x:xf>
    <x:xf numFmtId="0" fontId="14" fillId="2" borderId="1" xfId="0" applyNumberFormat="1" applyFont="1" applyFill="1" applyBorder="1" applyAlignment="1">
      <x:alignment horizontal="center" vertical="center"/>
    </x:xf>
    <x:xf numFmtId="0" fontId="14" fillId="2" borderId="1" xfId="0" applyNumberFormat="1" applyFont="1" applyFill="1" applyBorder="1" applyAlignment="1">
      <x:alignment horizontal="left" vertical="center"/>
    </x:xf>
    <x:xf numFmtId="0" fontId="10" fillId="16" borderId="0" xfId="0" applyNumberFormat="1" applyFont="1" applyFill="1" applyBorder="1" applyAlignment="1">
      <x:alignment horizontal="center" vertical="center"/>
    </x:xf>
    <x:xf numFmtId="0" fontId="15" fillId="16" borderId="0" xfId="0" applyNumberFormat="1" applyFont="1" applyFill="1" applyBorder="1" applyAlignment="1">
      <x:alignment horizontal="center" vertical="center"/>
    </x:xf>
    <x:xf numFmtId="0" fontId="10" fillId="16" borderId="1" xfId="0" applyNumberFormat="1" applyFont="1" applyFill="1" applyBorder="1" applyAlignment="1">
      <x:alignment horizontal="center" vertical="center"/>
    </x:xf>
    <x:xf numFmtId="0" fontId="15" fillId="16" borderId="1" xfId="0" applyNumberFormat="1" applyFont="1" applyFill="1" applyBorder="1" applyAlignment="1">
      <x:alignment horizontal="center" vertical="center"/>
    </x:xf>
    <x:xf numFmtId="0" fontId="10" fillId="17" borderId="0" xfId="0" applyNumberFormat="1" applyFont="1" applyFill="1" applyBorder="1" applyAlignment="1">
      <x:alignment horizontal="center" vertical="center"/>
    </x:xf>
    <x:xf numFmtId="0" fontId="10" fillId="17" borderId="1" xfId="0" applyNumberFormat="1" applyFont="1" applyFill="1" applyBorder="1" applyAlignment="1">
      <x:alignment horizontal="center" vertical="center"/>
    </x:xf>
    <x:xf numFmtId="0" fontId="16" fillId="17" borderId="0" xfId="0" applyNumberFormat="1" applyFont="1" applyFill="1" applyBorder="1" applyAlignment="1">
      <x:alignment horizontal="center" vertical="center"/>
    </x:xf>
    <x:xf numFmtId="0" fontId="16" fillId="17" borderId="1" xfId="0" applyNumberFormat="1" applyFont="1" applyFill="1" applyBorder="1" applyAlignment="1">
      <x:alignment horizontal="center" vertical="center"/>
    </x:xf>
    <x:xf numFmtId="0" fontId="16" fillId="18" borderId="0" xfId="0" applyNumberFormat="1" applyFont="1" applyFill="1" applyBorder="1" applyAlignment="1">
      <x:alignment horizontal="center" vertical="center"/>
    </x:xf>
    <x:xf numFmtId="0" fontId="16" fillId="18" borderId="1" xfId="0" applyNumberFormat="1" applyFont="1" applyFill="1" applyBorder="1" applyAlignment="1">
      <x:alignment horizontal="center" vertical="center"/>
    </x:xf>
    <x:xf numFmtId="0" fontId="16" fillId="19" borderId="0" xfId="0" applyNumberFormat="1" applyFont="1" applyFill="1" applyBorder="1" applyAlignment="1">
      <x:alignment horizontal="center" vertical="center"/>
    </x:xf>
    <x:xf numFmtId="0" fontId="16" fillId="19" borderId="1" xfId="0" applyNumberFormat="1" applyFont="1" applyFill="1" applyBorder="1" applyAlignment="1">
      <x:alignment horizontal="center" vertical="center"/>
    </x:xf>
    <x:xf numFmtId="0" fontId="16" fillId="20" borderId="0" xfId="0" applyNumberFormat="1" applyFont="1" applyFill="1" applyBorder="1" applyAlignment="1">
      <x:alignment horizontal="center" vertical="center"/>
    </x:xf>
    <x:xf numFmtId="0" fontId="16" fillId="20" borderId="1" xfId="0" applyNumberFormat="1" applyFont="1" applyFill="1" applyBorder="1" applyAlignment="1">
      <x:alignment horizontal="center" vertical="center"/>
    </x:xf>
    <x:xf numFmtId="0" fontId="16" fillId="21" borderId="0" xfId="0" applyNumberFormat="1" applyFont="1" applyFill="1" applyBorder="1" applyAlignment="1">
      <x:alignment horizontal="center" vertical="center"/>
    </x:xf>
    <x:xf numFmtId="0" fontId="16" fillId="21" borderId="1" xfId="0" applyNumberFormat="1" applyFont="1" applyFill="1" applyBorder="1" applyAlignment="1">
      <x:alignment horizontal="center" vertical="center"/>
    </x:xf>
    <x:xf numFmtId="0" fontId="16" fillId="21" borderId="2" xfId="0" applyNumberFormat="1" applyFont="1" applyFill="1" applyBorder="1" applyAlignment="1">
      <x:alignment horizontal="center" vertical="center"/>
    </x:xf>
    <x:xf numFmtId="0" fontId="16" fillId="20" borderId="3" xfId="0" applyNumberFormat="1" applyFont="1" applyFill="1" applyBorder="1" applyAlignment="1">
      <x:alignment horizontal="center" vertical="center"/>
    </x:xf>
    <x:xf numFmtId="0" fontId="16" fillId="21" borderId="3" xfId="0" applyNumberFormat="1" applyFont="1" applyFill="1" applyBorder="1" applyAlignment="1">
      <x:alignment horizontal="center" vertical="center"/>
    </x:xf>
    <x:xf numFmtId="0" fontId="16" fillId="21" borderId="4" xfId="0" applyNumberFormat="1" applyFont="1" applyFill="1" applyBorder="1" applyAlignment="1">
      <x:alignment horizontal="center" vertical="center"/>
    </x:xf>
    <x:xf numFmtId="0" fontId="16" fillId="21" borderId="5" xfId="0" applyNumberFormat="1" applyFont="1" applyFill="1" applyBorder="1" applyAlignment="1">
      <x:alignment horizontal="center" vertical="center"/>
    </x:xf>
    <x:xf numFmtId="0" fontId="16" fillId="20" borderId="6" xfId="0" applyNumberFormat="1" applyFont="1" applyFill="1" applyBorder="1" applyAlignment="1">
      <x:alignment horizontal="center" vertical="center"/>
    </x:xf>
    <x:xf numFmtId="0" fontId="16" fillId="21" borderId="6" xfId="0" applyNumberFormat="1" applyFont="1" applyFill="1" applyBorder="1" applyAlignment="1">
      <x:alignment horizontal="center" vertical="center"/>
    </x:xf>
    <x:xf numFmtId="0" fontId="16" fillId="21" borderId="7" xfId="0" applyNumberFormat="1" applyFont="1" applyFill="1" applyBorder="1" applyAlignment="1">
      <x:alignment horizontal="center" vertical="center"/>
    </x:xf>
    <x:xf numFmtId="0" fontId="16" fillId="21" borderId="8" xfId="0" applyNumberFormat="1" applyFont="1" applyFill="1" applyBorder="1" applyAlignment="1">
      <x:alignment horizontal="center" vertical="center"/>
    </x:xf>
    <x:xf numFmtId="0" fontId="16" fillId="20" borderId="9" xfId="0" applyNumberFormat="1" applyFont="1" applyFill="1" applyBorder="1" applyAlignment="1">
      <x:alignment horizontal="center" vertical="center"/>
    </x:xf>
    <x:xf numFmtId="0" fontId="16" fillId="21" borderId="9" xfId="0" applyNumberFormat="1" applyFont="1" applyFill="1" applyBorder="1" applyAlignment="1">
      <x:alignment horizontal="center" vertical="center"/>
    </x:xf>
    <x:xf numFmtId="0" fontId="16" fillId="20" borderId="10" xfId="0" applyNumberFormat="1" applyFont="1" applyFill="1" applyBorder="1" applyAlignment="1">
      <x:alignment horizontal="center" vertical="center"/>
    </x:xf>
    <x:xf numFmtId="0" fontId="16" fillId="21" borderId="11" xfId="0" applyNumberFormat="1" applyFont="1" applyFill="1" applyBorder="1" applyAlignment="1">
      <x:alignment horizontal="center" vertical="center"/>
    </x:xf>
    <x:xf numFmtId="0" fontId="16" fillId="20" borderId="12" xfId="0" applyNumberFormat="1" applyFont="1" applyFill="1" applyBorder="1" applyAlignment="1">
      <x:alignment horizontal="center" vertical="center"/>
    </x:xf>
    <x:xf numFmtId="0" fontId="16" fillId="21" borderId="12" xfId="0" applyNumberFormat="1" applyFont="1" applyFill="1" applyBorder="1" applyAlignment="1">
      <x:alignment horizontal="center" vertical="center"/>
    </x:xf>
    <x:xf numFmtId="0" fontId="16" fillId="20" borderId="13" xfId="0" applyNumberFormat="1" applyFont="1" applyFill="1" applyBorder="1" applyAlignment="1">
      <x:alignment horizontal="center" vertical="center"/>
    </x:xf>
    <x:xf numFmtId="0" fontId="16" fillId="20" borderId="8" xfId="0" applyNumberFormat="1" applyFont="1" applyFill="1" applyBorder="1" applyAlignment="1">
      <x:alignment horizontal="center" vertical="center"/>
    </x:xf>
    <x:xf numFmtId="0" fontId="16" fillId="20" borderId="11" xfId="0" applyNumberFormat="1" applyFont="1" applyFill="1" applyBorder="1" applyAlignment="1">
      <x:alignment horizontal="center" vertical="center"/>
    </x:xf>
    <x:xf numFmtId="0" fontId="16" fillId="20" borderId="14" xfId="0" applyNumberFormat="1" applyFont="1" applyFill="1" applyBorder="1" applyAlignment="1">
      <x:alignment horizontal="center" vertical="center"/>
    </x:xf>
    <x:xf numFmtId="0" fontId="16" fillId="20" borderId="15" xfId="0" applyNumberFormat="1" applyFont="1" applyFill="1" applyBorder="1" applyAlignment="1">
      <x:alignment horizontal="center" vertical="center"/>
    </x:xf>
    <x:xf numFmtId="0" fontId="16" fillId="21" borderId="10" xfId="0" applyNumberFormat="1" applyFont="1" applyFill="1" applyBorder="1" applyAlignment="1">
      <x:alignment horizontal="center" vertical="center"/>
    </x:xf>
    <x:xf numFmtId="0" fontId="16" fillId="21" borderId="13" xfId="0" applyNumberFormat="1" applyFont="1" applyFill="1" applyBorder="1" applyAlignment="1">
      <x:alignment horizontal="center" vertical="center"/>
    </x:xf>
    <x:xf numFmtId="0" fontId="16" fillId="20" borderId="2" xfId="0" applyNumberFormat="1" applyFont="1" applyFill="1" applyBorder="1" applyAlignment="1">
      <x:alignment horizontal="center" vertical="center"/>
    </x:xf>
    <x:xf numFmtId="0" fontId="16" fillId="20" borderId="5" xfId="0" applyNumberFormat="1" applyFont="1" applyFill="1" applyBorder="1" applyAlignment="1">
      <x:alignment horizontal="center" vertical="center"/>
    </x:xf>
    <x:xf numFmtId="0" fontId="16" fillId="21" borderId="14" xfId="0" applyNumberFormat="1" applyFont="1" applyFill="1" applyBorder="1" applyAlignment="1">
      <x:alignment horizontal="center" vertical="center"/>
    </x:xf>
    <x:xf numFmtId="0" fontId="16" fillId="21" borderId="15" xfId="0" applyNumberFormat="1" applyFont="1" applyFill="1" applyBorder="1" applyAlignment="1">
      <x:alignment horizontal="center" vertical="center"/>
    </x:xf>
    <x:xf numFmtId="0" fontId="16" fillId="20" borderId="4" xfId="0" applyNumberFormat="1" applyFont="1" applyFill="1" applyBorder="1" applyAlignment="1">
      <x:alignment horizontal="center" vertical="center"/>
    </x:xf>
    <x:xf numFmtId="0" fontId="16" fillId="20" borderId="7" xfId="0" applyNumberFormat="1" applyFont="1" applyFill="1" applyBorder="1" applyAlignment="1">
      <x:alignment horizontal="center" vertical="center"/>
    </x:xf>
    <x:xf numFmtId="0" fontId="17" fillId="19" borderId="0" xfId="0" applyNumberFormat="1" applyFont="1" applyFill="1" applyBorder="1" applyAlignment="1">
      <x:alignment horizontal="center" vertical="center"/>
    </x:xf>
    <x:xf numFmtId="0" fontId="17" fillId="19" borderId="1" xfId="0" applyNumberFormat="1" applyFont="1" applyFill="1" applyBorder="1" applyAlignment="1">
      <x:alignment horizontal="center" vertical="center"/>
    </x:xf>
    <x:xf numFmtId="0" fontId="18" fillId="19" borderId="0" xfId="0" applyNumberFormat="1" applyFont="1" applyFill="1" applyBorder="1" applyAlignment="1">
      <x:alignment horizontal="center" vertical="center"/>
    </x:xf>
    <x:xf numFmtId="0" fontId="18" fillId="19" borderId="1" xfId="0" applyNumberFormat="1" applyFont="1" applyFill="1" applyBorder="1" applyAlignment="1">
      <x:alignment horizontal="center" vertical="center"/>
    </x:xf>
    <x:xf numFmtId="0" fontId="18" fillId="22" borderId="0" xfId="0" applyNumberFormat="1" applyFont="1" applyFill="1" applyBorder="1" applyAlignment="1">
      <x:alignment horizontal="center" vertical="center"/>
    </x:xf>
    <x:xf numFmtId="0" fontId="18" fillId="22" borderId="1" xfId="0" applyNumberFormat="1" applyFont="1" applyFill="1" applyBorder="1" applyAlignment="1">
      <x:alignment horizontal="center" vertical="center"/>
    </x:xf>
    <x:xf numFmtId="0" fontId="19" fillId="22" borderId="0" xfId="0" applyNumberFormat="1" applyFont="1" applyFill="1" applyBorder="1" applyAlignment="1">
      <x:alignment horizontal="center" vertical="center"/>
    </x:xf>
    <x:xf numFmtId="0" fontId="19" fillId="22" borderId="1" xfId="0" applyNumberFormat="1" applyFont="1" applyFill="1" applyBorder="1" applyAlignment="1">
      <x:alignment horizontal="center" vertical="center"/>
    </x:xf>
    <x:xf numFmtId="0" fontId="17" fillId="23" borderId="0" xfId="0" applyNumberFormat="1" applyFont="1" applyFill="1" applyBorder="1" applyAlignment="1">
      <x:alignment horizontal="center" vertical="center"/>
    </x:xf>
    <x:xf numFmtId="0" fontId="17" fillId="23" borderId="1" xfId="0" applyNumberFormat="1" applyFont="1" applyFill="1" applyBorder="1" applyAlignment="1">
      <x:alignment horizontal="center" vertical="center"/>
    </x:xf>
    <x:xf numFmtId="0" fontId="16" fillId="22" borderId="0" xfId="0" applyNumberFormat="1" applyFont="1" applyFill="1" applyBorder="1" applyAlignment="1">
      <x:alignment horizontal="center" vertical="center"/>
    </x:xf>
    <x:xf numFmtId="0" fontId="16" fillId="22" borderId="1" xfId="0" applyNumberFormat="1" applyFont="1" applyFill="1" applyBorder="1" applyAlignment="1">
      <x:alignment horizontal="center" vertical="center"/>
    </x:xf>
    <x:xf numFmtId="0" fontId="18" fillId="23" borderId="0" xfId="0" applyNumberFormat="1" applyFont="1" applyFill="1" applyBorder="1" applyAlignment="1">
      <x:alignment horizontal="center" vertical="center"/>
    </x:xf>
    <x:xf numFmtId="0" fontId="18" fillId="23" borderId="1" xfId="0" applyNumberFormat="1" applyFont="1" applyFill="1" applyBorder="1" applyAlignment="1">
      <x:alignment horizontal="center" vertical="center"/>
    </x:xf>
    <x:xf numFmtId="0" fontId="19" fillId="23" borderId="0" xfId="0" applyNumberFormat="1" applyFont="1" applyFill="1" applyBorder="1" applyAlignment="1">
      <x:alignment horizontal="center" vertical="center"/>
    </x:xf>
    <x:xf numFmtId="0" fontId="19" fillId="23" borderId="1" xfId="0" applyNumberFormat="1" applyFont="1" applyFill="1" applyBorder="1" applyAlignment="1">
      <x:alignment horizontal="center" vertical="center"/>
    </x:xf>
    <x:xf numFmtId="0" fontId="17" fillId="22" borderId="0" xfId="0" applyNumberFormat="1" applyFont="1" applyFill="1" applyBorder="1" applyAlignment="1">
      <x:alignment horizontal="center" vertical="center"/>
    </x:xf>
    <x:xf numFmtId="0" fontId="17" fillId="22" borderId="1" xfId="0" applyNumberFormat="1" applyFont="1" applyFill="1" applyBorder="1" applyAlignment="1">
      <x:alignment horizontal="center" vertical="center"/>
    </x:xf>
    <x:xf numFmtId="0" fontId="16" fillId="23" borderId="0" xfId="0" applyNumberFormat="1" applyFont="1" applyFill="1" applyBorder="1" applyAlignment="1">
      <x:alignment horizontal="center" vertical="center"/>
    </x:xf>
    <x:xf numFmtId="0" fontId="16" fillId="23" borderId="1" xfId="0" applyNumberFormat="1" applyFont="1" applyFill="1" applyBorder="1" applyAlignment="1">
      <x:alignment horizontal="center" vertical="center"/>
    </x:xf>
    <x:xf numFmtId="0" fontId="19" fillId="22" borderId="16" xfId="0" applyNumberFormat="1" applyFont="1" applyFill="1" applyBorder="1" applyAlignment="1">
      <x:alignment horizontal="center" vertical="center"/>
    </x:xf>
    <x:xf numFmtId="0" fontId="19" fillId="23" borderId="17" xfId="0" applyNumberFormat="1" applyFont="1" applyFill="1" applyBorder="1" applyAlignment="1">
      <x:alignment horizontal="center" vertical="center"/>
    </x:xf>
    <x:xf numFmtId="0" fontId="17" fillId="23" borderId="18" xfId="0" applyNumberFormat="1" applyFont="1" applyFill="1" applyBorder="1" applyAlignment="1">
      <x:alignment horizontal="center" vertical="center"/>
    </x:xf>
    <x:xf numFmtId="0" fontId="17" fillId="22" borderId="19" xfId="0" applyNumberFormat="1" applyFont="1" applyFill="1" applyBorder="1" applyAlignment="1">
      <x:alignment horizontal="center" vertical="center"/>
    </x:xf>
    <x:xf numFmtId="0" fontId="16" fillId="22" borderId="20" xfId="0" applyNumberFormat="1" applyFont="1" applyFill="1" applyBorder="1" applyAlignment="1">
      <x:alignment horizontal="center" vertical="center"/>
    </x:xf>
    <x:xf numFmtId="0" fontId="16" fillId="23" borderId="21" xfId="0" applyNumberFormat="1" applyFont="1" applyFill="1" applyBorder="1" applyAlignment="1">
      <x:alignment horizontal="center" vertical="center"/>
    </x:xf>
    <x:xf numFmtId="0" fontId="19" fillId="22" borderId="22" xfId="0" applyNumberFormat="1" applyFont="1" applyFill="1" applyBorder="1" applyAlignment="1">
      <x:alignment horizontal="center" vertical="center"/>
    </x:xf>
    <x:xf numFmtId="0" fontId="19" fillId="23" borderId="23" xfId="0" applyNumberFormat="1" applyFont="1" applyFill="1" applyBorder="1" applyAlignment="1">
      <x:alignment horizontal="center" vertical="center"/>
    </x:xf>
    <x:xf numFmtId="0" fontId="17" fillId="23" borderId="24" xfId="0" applyNumberFormat="1" applyFont="1" applyFill="1" applyBorder="1" applyAlignment="1">
      <x:alignment horizontal="center" vertical="center"/>
    </x:xf>
    <x:xf numFmtId="0" fontId="17" fillId="22" borderId="25" xfId="0" applyNumberFormat="1" applyFont="1" applyFill="1" applyBorder="1" applyAlignment="1">
      <x:alignment horizontal="center" vertical="center"/>
    </x:xf>
    <x:xf numFmtId="0" fontId="16" fillId="22" borderId="26" xfId="0" applyNumberFormat="1" applyFont="1" applyFill="1" applyBorder="1" applyAlignment="1">
      <x:alignment horizontal="center" vertical="center"/>
    </x:xf>
    <x:xf numFmtId="0" fontId="16" fillId="23" borderId="27" xfId="0" applyNumberFormat="1" applyFont="1" applyFill="1" applyBorder="1" applyAlignment="1">
      <x:alignment horizontal="center" vertical="center"/>
    </x:xf>
    <x:xf numFmtId="0" fontId="20" fillId="18" borderId="0" xfId="0" applyNumberFormat="1" applyFont="1" applyFill="1" applyBorder="1" applyAlignment="1">
      <x:alignment horizontal="center" vertical="center"/>
    </x:xf>
    <x:xf numFmtId="0" fontId="20" fillId="18" borderId="1" xfId="0" applyNumberFormat="1" applyFont="1" applyFill="1" applyBorder="1" applyAlignment="1">
      <x:alignment horizontal="center" vertical="center"/>
    </x:xf>
    <x:xf numFmtId="0" fontId="20" fillId="17" borderId="0" xfId="0" applyNumberFormat="1" applyFont="1" applyFill="1" applyBorder="1" applyAlignment="1">
      <x:alignment horizontal="center" vertical="center"/>
    </x:xf>
    <x:xf numFmtId="0" fontId="20" fillId="17" borderId="1" xfId="0" applyNumberFormat="1" applyFont="1" applyFill="1" applyBorder="1" applyAlignment="1">
      <x:alignment horizontal="center" vertical="center"/>
    </x:xf>
    <x:xf numFmtId="0" fontId="21" fillId="17" borderId="0" xfId="0" applyNumberFormat="1" applyFont="1" applyFill="1" applyBorder="1" applyAlignment="1">
      <x:alignment horizontal="center" vertical="center"/>
    </x:xf>
    <x:xf numFmtId="0" fontId="21" fillId="17" borderId="1" xfId="0" applyNumberFormat="1" applyFont="1" applyFill="1" applyBorder="1" applyAlignment="1">
      <x:alignment horizontal="center" vertical="center"/>
    </x:xf>
    <x:xf numFmtId="0" fontId="22" fillId="17" borderId="0" xfId="0" applyNumberFormat="1" applyFont="1" applyFill="1" applyBorder="1" applyAlignment="1">
      <x:alignment horizontal="center" vertical="center"/>
    </x:xf>
    <x:xf numFmtId="0" fontId="22" fillId="17" borderId="1" xfId="0" applyNumberFormat="1" applyFont="1" applyFill="1" applyBorder="1" applyAlignment="1">
      <x:alignment horizontal="center" vertical="center"/>
    </x:xf>
    <x:xf numFmtId="0" fontId="23" fillId="17" borderId="0" xfId="0" applyNumberFormat="1" applyFont="1" applyFill="1" applyBorder="1" applyAlignment="1">
      <x:alignment horizontal="center" vertical="center"/>
    </x:xf>
    <x:xf numFmtId="0" fontId="23" fillId="17" borderId="1" xfId="0" applyNumberFormat="1" applyFont="1" applyFill="1" applyBorder="1" applyAlignment="1">
      <x:alignment horizontal="center" vertical="center"/>
    </x:xf>
    <x:xf numFmtId="0" fontId="24" fillId="18" borderId="0" xfId="0" applyNumberFormat="1" applyFont="1" applyFill="1" applyBorder="1" applyAlignment="1">
      <x:alignment horizontal="center" vertical="center"/>
    </x:xf>
    <x:xf numFmtId="0" fontId="24" fillId="18" borderId="1" xfId="0" applyNumberFormat="1" applyFont="1" applyFill="1" applyBorder="1" applyAlignment="1">
      <x:alignment horizontal="center" vertical="center"/>
    </x:xf>
    <x:xf numFmtId="0" fontId="16" fillId="24" borderId="0" xfId="0" applyNumberFormat="1" applyFont="1" applyFill="1" applyBorder="1" applyAlignment="1">
      <x:alignment horizontal="center" vertical="center"/>
    </x:xf>
    <x:xf numFmtId="0" fontId="16" fillId="24" borderId="1" xfId="0" applyNumberFormat="1" applyFont="1" applyFill="1" applyBorder="1" applyAlignment="1">
      <x:alignment horizontal="center" vertical="center"/>
    </x:xf>
    <x:xf numFmtId="0" fontId="16" fillId="24" borderId="28" xfId="0" applyNumberFormat="1" applyFont="1" applyFill="1" applyBorder="1" applyAlignment="1">
      <x:alignment horizontal="center" vertical="center"/>
    </x:xf>
    <x:xf numFmtId="0" fontId="16" fillId="24" borderId="29" xfId="0" applyNumberFormat="1" applyFont="1" applyFill="1" applyBorder="1" applyAlignment="1">
      <x:alignment horizontal="center" vertical="center"/>
    </x:xf>
    <x:xf numFmtId="0" fontId="16" fillId="24" borderId="30" xfId="0" applyNumberFormat="1" applyFont="1" applyFill="1" applyBorder="1" applyAlignment="1">
      <x:alignment horizontal="center" vertical="center"/>
    </x:xf>
    <x:xf numFmtId="0" fontId="16" fillId="24" borderId="31" xfId="0" applyNumberFormat="1" applyFont="1" applyFill="1" applyBorder="1" applyAlignment="1">
      <x:alignment horizontal="center" vertical="center"/>
    </x:xf>
    <x:xf numFmtId="0" fontId="16" fillId="24" borderId="32" xfId="0" applyNumberFormat="1" applyFont="1" applyFill="1" applyBorder="1" applyAlignment="1">
      <x:alignment horizontal="center" vertical="center"/>
    </x:xf>
    <x:xf numFmtId="0" fontId="16" fillId="24" borderId="33" xfId="0" applyNumberFormat="1" applyFont="1" applyFill="1" applyBorder="1" applyAlignment="1">
      <x:alignment horizontal="center" vertical="center"/>
    </x:xf>
    <x:xf numFmtId="0" fontId="16" fillId="24" borderId="34" xfId="0" applyNumberFormat="1" applyFont="1" applyFill="1" applyBorder="1" applyAlignment="1">
      <x:alignment horizontal="center" vertical="center"/>
    </x:xf>
    <x:xf numFmtId="0" fontId="16" fillId="24" borderId="35" xfId="0" applyNumberFormat="1" applyFont="1" applyFill="1" applyBorder="1" applyAlignment="1">
      <x:alignment horizontal="center" vertical="center"/>
    </x:xf>
    <x:xf numFmtId="0" fontId="16" fillId="24" borderId="36" xfId="0" applyNumberFormat="1" applyFont="1" applyFill="1" applyBorder="1" applyAlignment="1">
      <x:alignment horizontal="center" vertical="center"/>
    </x:xf>
    <x:xf numFmtId="0" fontId="16" fillId="24" borderId="37" xfId="0" applyNumberFormat="1" applyFont="1" applyFill="1" applyBorder="1" applyAlignment="1">
      <x:alignment horizontal="center" vertical="center"/>
    </x:xf>
    <x:xf numFmtId="0" fontId="16" fillId="24" borderId="38" xfId="0" applyNumberFormat="1" applyFont="1" applyFill="1" applyBorder="1" applyAlignment="1">
      <x:alignment horizontal="center" vertical="center"/>
    </x:xf>
    <x:xf numFmtId="0" fontId="16" fillId="24" borderId="39" xfId="0" applyNumberFormat="1" applyFont="1" applyFill="1" applyBorder="1" applyAlignment="1">
      <x:alignment horizontal="center" vertical="center"/>
    </x:xf>
    <x:xf numFmtId="0" fontId="16" fillId="24" borderId="40" xfId="0" applyNumberFormat="1" applyFont="1" applyFill="1" applyBorder="1" applyAlignment="1">
      <x:alignment horizontal="center" vertical="center"/>
    </x:xf>
    <x:xf numFmtId="0" fontId="16" fillId="24" borderId="41" xfId="0" applyNumberFormat="1" applyFont="1" applyFill="1" applyBorder="1" applyAlignment="1">
      <x:alignment horizontal="center" vertical="center"/>
    </x:xf>
    <x:xf numFmtId="0" fontId="16" fillId="24" borderId="42" xfId="0" applyNumberFormat="1" applyFont="1" applyFill="1" applyBorder="1" applyAlignment="1">
      <x:alignment horizontal="center" vertical="center"/>
    </x:xf>
    <x:xf numFmtId="0" fontId="16" fillId="24" borderId="43" xfId="0" applyNumberFormat="1" applyFont="1" applyFill="1" applyBorder="1" applyAlignment="1">
      <x:alignment horizontal="center" vertical="center"/>
    </x:xf>
    <x:xf numFmtId="0" fontId="25" fillId="24" borderId="28" xfId="0" applyNumberFormat="1" applyFont="1" applyFill="1" applyBorder="1" applyAlignment="1">
      <x:alignment horizontal="center" vertical="center"/>
    </x:xf>
    <x:xf numFmtId="0" fontId="25" fillId="24" borderId="29" xfId="0" applyNumberFormat="1" applyFont="1" applyFill="1" applyBorder="1" applyAlignment="1">
      <x:alignment horizontal="center" vertical="center"/>
    </x:xf>
    <x:xf numFmtId="0" fontId="25" fillId="24" borderId="30" xfId="0" applyNumberFormat="1" applyFont="1" applyFill="1" applyBorder="1" applyAlignment="1">
      <x:alignment horizontal="center" vertical="center"/>
    </x:xf>
    <x:xf numFmtId="0" fontId="25" fillId="24" borderId="36" xfId="0" applyNumberFormat="1" applyFont="1" applyFill="1" applyBorder="1" applyAlignment="1">
      <x:alignment horizontal="center" vertical="center"/>
    </x:xf>
    <x:xf numFmtId="0" fontId="25" fillId="24" borderId="37" xfId="0" applyNumberFormat="1" applyFont="1" applyFill="1" applyBorder="1" applyAlignment="1">
      <x:alignment horizontal="center" vertical="center"/>
    </x:xf>
    <x:xf numFmtId="0" fontId="25" fillId="24" borderId="38" xfId="0" applyNumberFormat="1" applyFont="1" applyFill="1" applyBorder="1" applyAlignment="1">
      <x:alignment horizontal="center" vertical="center"/>
    </x:xf>
    <x:xf numFmtId="0" fontId="26" fillId="24" borderId="31" xfId="0" applyNumberFormat="1" applyFont="1" applyFill="1" applyBorder="1" applyAlignment="1">
      <x:alignment horizontal="center" vertical="center"/>
    </x:xf>
    <x:xf numFmtId="0" fontId="26" fillId="24" borderId="0" xfId="0" applyNumberFormat="1" applyFont="1" applyFill="1" applyBorder="1" applyAlignment="1">
      <x:alignment horizontal="center" vertical="center"/>
    </x:xf>
    <x:xf numFmtId="0" fontId="26" fillId="24" borderId="32" xfId="0" applyNumberFormat="1" applyFont="1" applyFill="1" applyBorder="1" applyAlignment="1">
      <x:alignment horizontal="center" vertical="center"/>
    </x:xf>
    <x:xf numFmtId="0" fontId="26" fillId="24" borderId="39" xfId="0" applyNumberFormat="1" applyFont="1" applyFill="1" applyBorder="1" applyAlignment="1">
      <x:alignment horizontal="center" vertical="center"/>
    </x:xf>
    <x:xf numFmtId="0" fontId="26" fillId="24" borderId="1" xfId="0" applyNumberFormat="1" applyFont="1" applyFill="1" applyBorder="1" applyAlignment="1">
      <x:alignment horizontal="center" vertical="center"/>
    </x:xf>
    <x:xf numFmtId="0" fontId="26" fillId="24" borderId="40" xfId="0" applyNumberFormat="1" applyFont="1" applyFill="1" applyBorder="1" applyAlignment="1">
      <x:alignment horizontal="center" vertical="center"/>
    </x:xf>
    <x:xf numFmtId="0" fontId="27" fillId="24" borderId="33" xfId="0" applyNumberFormat="1" applyFont="1" applyFill="1" applyBorder="1" applyAlignment="1">
      <x:alignment horizontal="center" vertical="center"/>
    </x:xf>
    <x:xf numFmtId="0" fontId="27" fillId="24" borderId="34" xfId="0" applyNumberFormat="1" applyFont="1" applyFill="1" applyBorder="1" applyAlignment="1">
      <x:alignment horizontal="center" vertical="center"/>
    </x:xf>
    <x:xf numFmtId="0" fontId="27" fillId="24" borderId="35" xfId="0" applyNumberFormat="1" applyFont="1" applyFill="1" applyBorder="1" applyAlignment="1">
      <x:alignment horizontal="center" vertical="center"/>
    </x:xf>
    <x:xf numFmtId="0" fontId="27" fillId="24" borderId="41" xfId="0" applyNumberFormat="1" applyFont="1" applyFill="1" applyBorder="1" applyAlignment="1">
      <x:alignment horizontal="center" vertical="center"/>
    </x:xf>
    <x:xf numFmtId="0" fontId="27" fillId="24" borderId="42" xfId="0" applyNumberFormat="1" applyFont="1" applyFill="1" applyBorder="1" applyAlignment="1">
      <x:alignment horizontal="center" vertical="center"/>
    </x:xf>
    <x:xf numFmtId="0" fontId="27" fillId="24" borderId="43" xfId="0" applyNumberFormat="1" applyFont="1" applyFill="1" applyBorder="1" applyAlignment="1">
      <x:alignment horizontal="center" vertical="center"/>
    </x:xf>
    <x:xf numFmtId="0" fontId="10" fillId="3" borderId="0" xfId="0" applyNumberFormat="1" applyFont="1" applyFill="1" applyBorder="1" applyAlignment="1">
      <x:alignment horizontal="center" vertical="center"/>
    </x:xf>
    <x:xf numFmtId="0" fontId="10" fillId="3" borderId="1" xfId="0" applyNumberFormat="1" applyFont="1" applyFill="1" applyBorder="1" applyAlignment="1">
      <x:alignment horizontal="center" vertical="center"/>
    </x:xf>
    <x:xf numFmtId="0" fontId="10" fillId="3" borderId="44" xfId="0" applyNumberFormat="1" applyFont="1" applyFill="1" applyBorder="1" applyAlignment="1">
      <x:alignment horizontal="center" vertical="center"/>
    </x:xf>
    <x:xf numFmtId="0" fontId="10" fillId="3" borderId="45" xfId="0" applyNumberFormat="1" applyFont="1" applyFill="1" applyBorder="1" applyAlignment="1">
      <x:alignment horizontal="center" vertical="center"/>
    </x:xf>
    <x:xf numFmtId="0" fontId="10" fillId="3" borderId="46" xfId="0" applyNumberFormat="1" applyFont="1" applyFill="1" applyBorder="1" applyAlignment="1">
      <x:alignment horizontal="center" vertical="center"/>
    </x:xf>
    <x:xf numFmtId="0" fontId="10" fillId="3" borderId="47" xfId="0" applyNumberFormat="1" applyFont="1" applyFill="1" applyBorder="1" applyAlignment="1">
      <x:alignment horizontal="center" vertical="center"/>
    </x:xf>
    <x:xf numFmtId="0" fontId="10" fillId="3" borderId="48" xfId="0" applyNumberFormat="1" applyFont="1" applyFill="1" applyBorder="1" applyAlignment="1">
      <x:alignment horizontal="center" vertical="center"/>
    </x:xf>
    <x:xf numFmtId="0" fontId="10" fillId="3" borderId="49" xfId="0" applyNumberFormat="1" applyFont="1" applyFill="1" applyBorder="1" applyAlignment="1">
      <x:alignment horizontal="center" vertical="center"/>
    </x:xf>
    <x:xf numFmtId="0" fontId="10" fillId="3" borderId="50" xfId="0" applyNumberFormat="1" applyFont="1" applyFill="1" applyBorder="1" applyAlignment="1">
      <x:alignment horizontal="center" vertical="center"/>
    </x:xf>
    <x:xf numFmtId="0" fontId="10" fillId="3" borderId="51" xfId="0" applyNumberFormat="1" applyFont="1" applyFill="1" applyBorder="1" applyAlignment="1">
      <x:alignment horizontal="center" vertical="center"/>
    </x:xf>
    <x:xf numFmtId="0" fontId="10" fillId="3" borderId="52" xfId="0" applyNumberFormat="1" applyFont="1" applyFill="1" applyBorder="1" applyAlignment="1">
      <x:alignment horizontal="center" vertical="center"/>
    </x:xf>
    <x:xf numFmtId="0" fontId="10" fillId="3" borderId="53" xfId="0" applyNumberFormat="1" applyFont="1" applyFill="1" applyBorder="1" applyAlignment="1">
      <x:alignment horizontal="center" vertical="center"/>
    </x:xf>
    <x:xf numFmtId="0" fontId="10" fillId="3" borderId="54" xfId="0" applyNumberFormat="1" applyFont="1" applyFill="1" applyBorder="1" applyAlignment="1">
      <x:alignment horizontal="center" vertical="center"/>
    </x:xf>
    <x:xf numFmtId="0" fontId="10" fillId="3" borderId="55" xfId="0" applyNumberFormat="1" applyFont="1" applyFill="1" applyBorder="1" applyAlignment="1">
      <x:alignment horizontal="center" vertical="center"/>
    </x:xf>
    <x:xf numFmtId="0" fontId="10" fillId="3" borderId="56" xfId="0" applyNumberFormat="1" applyFont="1" applyFill="1" applyBorder="1" applyAlignment="1">
      <x:alignment horizontal="center" vertical="center"/>
    </x:xf>
    <x:xf numFmtId="0" fontId="10" fillId="3" borderId="57" xfId="0" applyNumberFormat="1" applyFont="1" applyFill="1" applyBorder="1" applyAlignment="1">
      <x:alignment horizontal="center" vertical="center"/>
    </x:xf>
    <x:xf numFmtId="0" fontId="10" fillId="3" borderId="58" xfId="0" applyNumberFormat="1" applyFont="1" applyFill="1" applyBorder="1" applyAlignment="1">
      <x:alignment horizontal="center" vertical="center"/>
    </x:xf>
    <x:xf numFmtId="0" fontId="10" fillId="3" borderId="59" xfId="0" applyNumberFormat="1" applyFont="1" applyFill="1" applyBorder="1" applyAlignment="1">
      <x:alignment horizontal="center" vertical="center"/>
    </x:xf>
    <x:xf numFmtId="0" fontId="10" fillId="7" borderId="44" xfId="0" applyNumberFormat="1" applyFont="1" applyFill="1" applyBorder="1" applyAlignment="1">
      <x:alignment horizontal="center" vertical="center"/>
    </x:xf>
    <x:xf numFmtId="0" fontId="10" fillId="7" borderId="45" xfId="0" applyNumberFormat="1" applyFont="1" applyFill="1" applyBorder="1" applyAlignment="1">
      <x:alignment horizontal="center" vertical="center"/>
    </x:xf>
    <x:xf numFmtId="0" fontId="10" fillId="7" borderId="46" xfId="0" applyNumberFormat="1" applyFont="1" applyFill="1" applyBorder="1" applyAlignment="1">
      <x:alignment horizontal="center" vertical="center"/>
    </x:xf>
    <x:xf numFmtId="0" fontId="10" fillId="7" borderId="47" xfId="0" applyNumberFormat="1" applyFont="1" applyFill="1" applyBorder="1" applyAlignment="1">
      <x:alignment horizontal="center" vertical="center"/>
    </x:xf>
    <x:xf numFmtId="0" fontId="10" fillId="7" borderId="0" xfId="0" applyNumberFormat="1" applyFont="1" applyFill="1" applyBorder="1" applyAlignment="1">
      <x:alignment horizontal="center" vertical="center"/>
    </x:xf>
    <x:xf numFmtId="0" fontId="10" fillId="7" borderId="48" xfId="0" applyNumberFormat="1" applyFont="1" applyFill="1" applyBorder="1" applyAlignment="1">
      <x:alignment horizontal="center" vertical="center"/>
    </x:xf>
    <x:xf numFmtId="0" fontId="28" fillId="7" borderId="44" xfId="0" applyNumberFormat="1" applyFont="1" applyFill="1" applyBorder="1" applyAlignment="1">
      <x:alignment horizontal="center" vertical="center"/>
    </x:xf>
    <x:xf numFmtId="0" fontId="28" fillId="7" borderId="45" xfId="0" applyNumberFormat="1" applyFont="1" applyFill="1" applyBorder="1" applyAlignment="1">
      <x:alignment horizontal="center" vertical="center"/>
    </x:xf>
    <x:xf numFmtId="0" fontId="28" fillId="7" borderId="46" xfId="0" applyNumberFormat="1" applyFont="1" applyFill="1" applyBorder="1" applyAlignment="1">
      <x:alignment horizontal="center" vertical="center"/>
    </x:xf>
    <x:xf numFmtId="0" fontId="28" fillId="7" borderId="47" xfId="0" applyNumberFormat="1" applyFont="1" applyFill="1" applyBorder="1" applyAlignment="1">
      <x:alignment horizontal="center" vertical="center"/>
    </x:xf>
    <x:xf numFmtId="0" fontId="28" fillId="7" borderId="0" xfId="0" applyNumberFormat="1" applyFont="1" applyFill="1" applyBorder="1" applyAlignment="1">
      <x:alignment horizontal="center" vertical="center"/>
    </x:xf>
    <x:xf numFmtId="0" fontId="28" fillId="7" borderId="48" xfId="0" applyNumberFormat="1" applyFont="1" applyFill="1" applyBorder="1" applyAlignment="1">
      <x:alignment horizontal="center" vertical="center"/>
    </x:xf>
    <x:xf numFmtId="0" fontId="10" fillId="7" borderId="52" xfId="0" applyNumberFormat="1" applyFont="1" applyFill="1" applyBorder="1" applyAlignment="1">
      <x:alignment horizontal="center" vertical="center"/>
    </x:xf>
    <x:xf numFmtId="0" fontId="10" fillId="7" borderId="53" xfId="0" applyNumberFormat="1" applyFont="1" applyFill="1" applyBorder="1" applyAlignment="1">
      <x:alignment horizontal="center" vertical="center"/>
    </x:xf>
    <x:xf numFmtId="0" fontId="10" fillId="7" borderId="54" xfId="0" applyNumberFormat="1" applyFont="1" applyFill="1" applyBorder="1" applyAlignment="1">
      <x:alignment horizontal="center" vertical="center"/>
    </x:xf>
    <x:xf numFmtId="0" fontId="10" fillId="7" borderId="55" xfId="0" applyNumberFormat="1" applyFont="1" applyFill="1" applyBorder="1" applyAlignment="1">
      <x:alignment horizontal="center" vertical="center"/>
    </x:xf>
    <x:xf numFmtId="0" fontId="10" fillId="7" borderId="1" xfId="0" applyNumberFormat="1" applyFont="1" applyFill="1" applyBorder="1" applyAlignment="1">
      <x:alignment horizontal="center" vertical="center"/>
    </x:xf>
    <x:xf numFmtId="0" fontId="10" fillId="7" borderId="56" xfId="0" applyNumberFormat="1" applyFont="1" applyFill="1" applyBorder="1" applyAlignment="1">
      <x:alignment horizontal="center" vertical="center"/>
    </x:xf>
    <x:xf numFmtId="0" fontId="28" fillId="7" borderId="52" xfId="0" applyNumberFormat="1" applyFont="1" applyFill="1" applyBorder="1" applyAlignment="1">
      <x:alignment horizontal="center" vertical="center"/>
    </x:xf>
    <x:xf numFmtId="0" fontId="28" fillId="7" borderId="53" xfId="0" applyNumberFormat="1" applyFont="1" applyFill="1" applyBorder="1" applyAlignment="1">
      <x:alignment horizontal="center" vertical="center"/>
    </x:xf>
    <x:xf numFmtId="0" fontId="28" fillId="7" borderId="54" xfId="0" applyNumberFormat="1" applyFont="1" applyFill="1" applyBorder="1" applyAlignment="1">
      <x:alignment horizontal="center" vertical="center"/>
    </x:xf>
    <x:xf numFmtId="0" fontId="28" fillId="7" borderId="55" xfId="0" applyNumberFormat="1" applyFont="1" applyFill="1" applyBorder="1" applyAlignment="1">
      <x:alignment horizontal="center" vertical="center"/>
    </x:xf>
    <x:xf numFmtId="0" fontId="28" fillId="7" borderId="1" xfId="0" applyNumberFormat="1" applyFont="1" applyFill="1" applyBorder="1" applyAlignment="1">
      <x:alignment horizontal="center" vertical="center"/>
    </x:xf>
    <x:xf numFmtId="0" fontId="28" fillId="7" borderId="56" xfId="0" applyNumberFormat="1" applyFont="1" applyFill="1" applyBorder="1" applyAlignment="1">
      <x:alignment horizontal="center" vertical="center"/>
    </x:xf>
    <x:xf numFmtId="0" fontId="29" fillId="3" borderId="47" xfId="0" applyNumberFormat="1" applyFont="1" applyFill="1" applyBorder="1" applyAlignment="1">
      <x:alignment horizontal="center" vertical="center"/>
    </x:xf>
    <x:xf numFmtId="0" fontId="29" fillId="3" borderId="0" xfId="0" applyNumberFormat="1" applyFont="1" applyFill="1" applyBorder="1" applyAlignment="1">
      <x:alignment horizontal="center" vertical="center"/>
    </x:xf>
    <x:xf numFmtId="0" fontId="29" fillId="3" borderId="55" xfId="0" applyNumberFormat="1" applyFont="1" applyFill="1" applyBorder="1" applyAlignment="1">
      <x:alignment horizontal="center" vertical="center"/>
    </x:xf>
    <x:xf numFmtId="0" fontId="29" fillId="3" borderId="1" xfId="0" applyNumberFormat="1" applyFont="1" applyFill="1" applyBorder="1" applyAlignment="1">
      <x:alignment horizontal="center" vertical="center"/>
    </x:xf>
    <x:xf numFmtId="0" fontId="10" fillId="4" borderId="0" xfId="0" applyNumberFormat="1" applyFont="1" applyFill="1" applyBorder="1" applyAlignment="1">
      <x:alignment horizontal="center" vertical="center"/>
    </x:xf>
    <x:xf numFmtId="0" fontId="10" fillId="4" borderId="48" xfId="0" applyNumberFormat="1" applyFont="1" applyFill="1" applyBorder="1" applyAlignment="1">
      <x:alignment horizontal="center" vertical="center"/>
    </x:xf>
    <x:xf numFmtId="0" fontId="30" fillId="4" borderId="0" xfId="0" applyNumberFormat="1" applyFont="1" applyFill="1" applyBorder="1" applyAlignment="1">
      <x:alignment horizontal="center" vertical="center"/>
    </x:xf>
    <x:xf numFmtId="0" fontId="30" fillId="4" borderId="48" xfId="0" applyNumberFormat="1" applyFont="1" applyFill="1" applyBorder="1" applyAlignment="1">
      <x:alignment horizontal="center" vertical="center"/>
    </x:xf>
    <x:xf numFmtId="0" fontId="30" fillId="4" borderId="60" xfId="0" applyNumberFormat="1" applyFont="1" applyFill="1" applyBorder="1" applyAlignment="1">
      <x:alignment horizontal="center" vertical="center"/>
    </x:xf>
    <x:xf numFmtId="0" fontId="30" fillId="4" borderId="61" xfId="0" applyNumberFormat="1" applyFont="1" applyFill="1" applyBorder="1" applyAlignment="1">
      <x:alignment horizontal="center" vertical="center"/>
    </x:xf>
    <x:xf numFmtId="0" fontId="30" fillId="4" borderId="62" xfId="0" applyNumberFormat="1" applyFont="1" applyFill="1" applyBorder="1" applyAlignment="1">
      <x:alignment horizontal="center" vertical="center"/>
    </x:xf>
    <x:xf numFmtId="0" fontId="30" fillId="4" borderId="63" xfId="0" applyNumberFormat="1" applyFont="1" applyFill="1" applyBorder="1" applyAlignment="1">
      <x:alignment horizontal="center" vertical="center"/>
    </x:xf>
    <x:xf numFmtId="0" fontId="30" fillId="4" borderId="64" xfId="0" applyNumberFormat="1" applyFont="1" applyFill="1" applyBorder="1" applyAlignment="1">
      <x:alignment horizontal="center" vertical="center"/>
    </x:xf>
    <x:xf numFmtId="0" fontId="30" fillId="4" borderId="65" xfId="0" applyNumberFormat="1" applyFont="1" applyFill="1" applyBorder="1" applyAlignment="1">
      <x:alignment horizontal="center" vertical="center"/>
    </x:xf>
    <x:xf numFmtId="0" fontId="10" fillId="4" borderId="1" xfId="0" applyNumberFormat="1" applyFont="1" applyFill="1" applyBorder="1" applyAlignment="1">
      <x:alignment horizontal="center" vertical="center"/>
    </x:xf>
    <x:xf numFmtId="0" fontId="10" fillId="4" borderId="56" xfId="0" applyNumberFormat="1" applyFont="1" applyFill="1" applyBorder="1" applyAlignment="1">
      <x:alignment horizontal="center" vertical="center"/>
    </x:xf>
    <x:xf numFmtId="0" fontId="30" fillId="4" borderId="1" xfId="0" applyNumberFormat="1" applyFont="1" applyFill="1" applyBorder="1" applyAlignment="1">
      <x:alignment horizontal="center" vertical="center"/>
    </x:xf>
    <x:xf numFmtId="0" fontId="30" fillId="4" borderId="56" xfId="0" applyNumberFormat="1" applyFont="1" applyFill="1" applyBorder="1" applyAlignment="1">
      <x:alignment horizontal="center" vertical="center"/>
    </x:xf>
    <x:xf numFmtId="0" fontId="30" fillId="4" borderId="66" xfId="0" applyNumberFormat="1" applyFont="1" applyFill="1" applyBorder="1" applyAlignment="1">
      <x:alignment horizontal="center" vertical="center"/>
    </x:xf>
    <x:xf numFmtId="0" fontId="30" fillId="4" borderId="67" xfId="0" applyNumberFormat="1" applyFont="1" applyFill="1" applyBorder="1" applyAlignment="1">
      <x:alignment horizontal="center" vertical="center"/>
    </x:xf>
    <x:xf numFmtId="0" fontId="30" fillId="4" borderId="68" xfId="0" applyNumberFormat="1" applyFont="1" applyFill="1" applyBorder="1" applyAlignment="1">
      <x:alignment horizontal="center" vertical="center"/>
    </x:xf>
    <x:xf numFmtId="0" fontId="30" fillId="4" borderId="69" xfId="0" applyNumberFormat="1" applyFont="1" applyFill="1" applyBorder="1" applyAlignment="1">
      <x:alignment horizontal="center" vertical="center"/>
    </x:xf>
    <x:xf numFmtId="0" fontId="30" fillId="4" borderId="70" xfId="0" applyNumberFormat="1" applyFont="1" applyFill="1" applyBorder="1" applyAlignment="1">
      <x:alignment horizontal="center" vertical="center"/>
    </x:xf>
    <x:xf numFmtId="0" fontId="30" fillId="4" borderId="71" xfId="0" applyNumberFormat="1" applyFont="1" applyFill="1" applyBorder="1" applyAlignment="1">
      <x:alignment horizontal="center" vertical="center"/>
    </x:xf>
    <x:xf numFmtId="0" fontId="31" fillId="3" borderId="47" xfId="0" applyNumberFormat="1" applyFont="1" applyFill="1" applyBorder="1" applyAlignment="1">
      <x:alignment horizontal="center" vertical="center"/>
    </x:xf>
    <x:xf numFmtId="0" fontId="31" fillId="3" borderId="0" xfId="0" applyNumberFormat="1" applyFont="1" applyFill="1" applyBorder="1" applyAlignment="1">
      <x:alignment horizontal="center" vertical="center"/>
    </x:xf>
    <x:xf numFmtId="0" fontId="31" fillId="3" borderId="48" xfId="0" applyNumberFormat="1" applyFont="1" applyFill="1" applyBorder="1" applyAlignment="1">
      <x:alignment horizontal="center" vertical="center"/>
    </x:xf>
    <x:xf numFmtId="0" fontId="31" fillId="3" borderId="55" xfId="0" applyNumberFormat="1" applyFont="1" applyFill="1" applyBorder="1" applyAlignment="1">
      <x:alignment horizontal="center" vertical="center"/>
    </x:xf>
    <x:xf numFmtId="0" fontId="31" fillId="3" borderId="1" xfId="0" applyNumberFormat="1" applyFont="1" applyFill="1" applyBorder="1" applyAlignment="1">
      <x:alignment horizontal="center" vertical="center"/>
    </x:xf>
    <x:xf numFmtId="0" fontId="31" fillId="3" borderId="56" xfId="0" applyNumberFormat="1" applyFont="1" applyFill="1" applyBorder="1" applyAlignment="1">
      <x:alignment horizontal="center" vertical="center"/>
    </x:xf>
    <x:xf numFmtId="0" fontId="31" fillId="3" borderId="0" xfId="0" applyNumberFormat="1" applyFont="1" applyFill="1" applyBorder="1" applyAlignment="1">
      <x:alignment horizontal="left" vertical="center"/>
    </x:xf>
    <x:xf numFmtId="0" fontId="31" fillId="3" borderId="1" xfId="0" applyNumberFormat="1" applyFont="1" applyFill="1" applyBorder="1" applyAlignment="1">
      <x:alignment horizontal="left" vertical="center"/>
    </x:xf>
    <x:xf numFmtId="0" fontId="32" fillId="3" borderId="0" xfId="0" applyNumberFormat="1" applyFont="1" applyFill="1" applyBorder="1" applyAlignment="1">
      <x:alignment horizontal="center" vertical="center"/>
    </x:xf>
    <x:xf numFmtId="0" fontId="32" fillId="3" borderId="1" xfId="0" applyNumberFormat="1" applyFont="1" applyFill="1" applyBorder="1" applyAlignment="1">
      <x:alignment horizontal="center" vertical="center"/>
    </x:xf>
    <x:xf numFmtId="0" fontId="33" fillId="3" borderId="47" xfId="0" applyNumberFormat="1" applyFont="1" applyFill="1" applyBorder="1" applyAlignment="1">
      <x:alignment horizontal="center" vertical="center"/>
    </x:xf>
    <x:xf numFmtId="0" fontId="33" fillId="3" borderId="0" xfId="0" applyNumberFormat="1" applyFont="1" applyFill="1" applyBorder="1" applyAlignment="1">
      <x:alignment horizontal="center" vertical="center"/>
    </x:xf>
    <x:xf numFmtId="0" fontId="33" fillId="3" borderId="55" xfId="0" applyNumberFormat="1" applyFont="1" applyFill="1" applyBorder="1" applyAlignment="1">
      <x:alignment horizontal="center" vertical="center"/>
    </x:xf>
    <x:xf numFmtId="0" fontId="33" fillId="3" borderId="1" xfId="0" applyNumberFormat="1" applyFont="1" applyFill="1" applyBorder="1" applyAlignment="1">
      <x:alignment horizontal="center" vertical="center"/>
    </x:xf>
    <x:xf numFmtId="0" fontId="33" fillId="3" borderId="48" xfId="0" applyNumberFormat="1" applyFont="1" applyFill="1" applyBorder="1" applyAlignment="1">
      <x:alignment horizontal="center" vertical="center"/>
    </x:xf>
    <x:xf numFmtId="0" fontId="33" fillId="3" borderId="56" xfId="0" applyNumberFormat="1" applyFont="1" applyFill="1" applyBorder="1" applyAlignment="1">
      <x:alignment horizontal="center" vertical="center"/>
    </x:xf>
    <x:xf numFmtId="0" fontId="10" fillId="25" borderId="47" xfId="0" applyNumberFormat="1" applyFont="1" applyFill="1" applyBorder="1" applyAlignment="1">
      <x:alignment horizontal="center" vertical="center"/>
    </x:xf>
    <x:xf numFmtId="0" fontId="10" fillId="25" borderId="0" xfId="0" applyNumberFormat="1" applyFont="1" applyFill="1" applyBorder="1" applyAlignment="1">
      <x:alignment horizontal="center" vertical="center"/>
    </x:xf>
    <x:xf numFmtId="0" fontId="10" fillId="25" borderId="48" xfId="0" applyNumberFormat="1" applyFont="1" applyFill="1" applyBorder="1" applyAlignment="1">
      <x:alignment horizontal="center" vertical="center"/>
    </x:xf>
    <x:xf numFmtId="0" fontId="10" fillId="25" borderId="55" xfId="0" applyNumberFormat="1" applyFont="1" applyFill="1" applyBorder="1" applyAlignment="1">
      <x:alignment horizontal="center" vertical="center"/>
    </x:xf>
    <x:xf numFmtId="0" fontId="10" fillId="25" borderId="1" xfId="0" applyNumberFormat="1" applyFont="1" applyFill="1" applyBorder="1" applyAlignment="1">
      <x:alignment horizontal="center" vertical="center"/>
    </x:xf>
    <x:xf numFmtId="0" fontId="10" fillId="25" borderId="56" xfId="0" applyNumberFormat="1" applyFont="1" applyFill="1" applyBorder="1" applyAlignment="1">
      <x:alignment horizontal="center" vertical="center"/>
    </x:xf>
    <x:xf numFmtId="0" fontId="34" fillId="25" borderId="47" xfId="0" applyNumberFormat="1" applyFont="1" applyFill="1" applyBorder="1" applyAlignment="1">
      <x:alignment horizontal="center" vertical="center"/>
    </x:xf>
    <x:xf numFmtId="0" fontId="34" fillId="25" borderId="0" xfId="0" applyNumberFormat="1" applyFont="1" applyFill="1" applyBorder="1" applyAlignment="1">
      <x:alignment horizontal="center" vertical="center"/>
    </x:xf>
    <x:xf numFmtId="0" fontId="34" fillId="25" borderId="55" xfId="0" applyNumberFormat="1" applyFont="1" applyFill="1" applyBorder="1" applyAlignment="1">
      <x:alignment horizontal="center" vertical="center"/>
    </x:xf>
    <x:xf numFmtId="0" fontId="34" fillId="25" borderId="1" xfId="0" applyNumberFormat="1" applyFont="1" applyFill="1" applyBorder="1" applyAlignment="1">
      <x:alignment horizontal="center" vertical="center"/>
    </x:xf>
    <x:xf numFmtId="0" fontId="32" fillId="25" borderId="0" xfId="0" applyNumberFormat="1" applyFont="1" applyFill="1" applyBorder="1" applyAlignment="1">
      <x:alignment horizontal="center" vertical="center"/>
    </x:xf>
    <x:xf numFmtId="0" fontId="32" fillId="25" borderId="1" xfId="0" applyNumberFormat="1" applyFont="1" applyFill="1" applyBorder="1" applyAlignment="1">
      <x:alignment horizontal="center" vertical="center"/>
    </x:xf>
    <x:xf numFmtId="0" fontId="35" fillId="25" borderId="0" xfId="0" applyNumberFormat="1" applyFont="1" applyFill="1" applyBorder="1" applyAlignment="1">
      <x:alignment horizontal="center" vertical="center"/>
    </x:xf>
    <x:xf numFmtId="0" fontId="35" fillId="25" borderId="48" xfId="0" applyNumberFormat="1" applyFont="1" applyFill="1" applyBorder="1" applyAlignment="1">
      <x:alignment horizontal="center" vertical="center"/>
    </x:xf>
    <x:xf numFmtId="0" fontId="35" fillId="25" borderId="1" xfId="0" applyNumberFormat="1" applyFont="1" applyFill="1" applyBorder="1" applyAlignment="1">
      <x:alignment horizontal="center" vertical="center"/>
    </x:xf>
    <x:xf numFmtId="0" fontId="35" fillId="25" borderId="56" xfId="0" applyNumberFormat="1" applyFont="1" applyFill="1" applyBorder="1" applyAlignment="1">
      <x:alignment horizontal="center" vertical="center"/>
    </x:xf>
    <x:xf numFmtId="0" fontId="34" fillId="3" borderId="47" xfId="0" applyNumberFormat="1" applyFont="1" applyFill="1" applyBorder="1" applyAlignment="1">
      <x:alignment horizontal="center" vertical="center"/>
    </x:xf>
    <x:xf numFmtId="0" fontId="34" fillId="3" borderId="0" xfId="0" applyNumberFormat="1" applyFont="1" applyFill="1" applyBorder="1" applyAlignment="1">
      <x:alignment horizontal="center" vertical="center"/>
    </x:xf>
    <x:xf numFmtId="0" fontId="34" fillId="3" borderId="55" xfId="0" applyNumberFormat="1" applyFont="1" applyFill="1" applyBorder="1" applyAlignment="1">
      <x:alignment horizontal="center" vertical="center"/>
    </x:xf>
    <x:xf numFmtId="0" fontId="34" fillId="3" borderId="1" xfId="0" applyNumberFormat="1" applyFont="1" applyFill="1" applyBorder="1" applyAlignment="1">
      <x:alignment horizontal="center" vertical="center"/>
    </x:xf>
    <x:xf numFmtId="0" fontId="35" fillId="3" borderId="0" xfId="0" applyNumberFormat="1" applyFont="1" applyFill="1" applyBorder="1" applyAlignment="1">
      <x:alignment horizontal="center" vertical="center"/>
    </x:xf>
    <x:xf numFmtId="0" fontId="35" fillId="3" borderId="48" xfId="0" applyNumberFormat="1" applyFont="1" applyFill="1" applyBorder="1" applyAlignment="1">
      <x:alignment horizontal="center" vertical="center"/>
    </x:xf>
    <x:xf numFmtId="0" fontId="35" fillId="3" borderId="1" xfId="0" applyNumberFormat="1" applyFont="1" applyFill="1" applyBorder="1" applyAlignment="1">
      <x:alignment horizontal="center" vertical="center"/>
    </x:xf>
    <x:xf numFmtId="0" fontId="35" fillId="3" borderId="56" xfId="0" applyNumberFormat="1" applyFont="1" applyFill="1" applyBorder="1" applyAlignment="1">
      <x:alignment horizontal="center" vertical="center"/>
    </x:xf>
    <x:xf numFmtId="0" fontId="36" fillId="3" borderId="49" xfId="0" applyNumberFormat="1" applyFont="1" applyFill="1" applyBorder="1" applyAlignment="1">
      <x:alignment horizontal="center" vertical="center"/>
    </x:xf>
    <x:xf numFmtId="0" fontId="36" fillId="3" borderId="50" xfId="0" applyNumberFormat="1" applyFont="1" applyFill="1" applyBorder="1" applyAlignment="1">
      <x:alignment horizontal="center" vertical="center"/>
    </x:xf>
    <x:xf numFmtId="0" fontId="36" fillId="3" borderId="51" xfId="0" applyNumberFormat="1" applyFont="1" applyFill="1" applyBorder="1" applyAlignment="1">
      <x:alignment horizontal="center" vertical="center"/>
    </x:xf>
    <x:xf numFmtId="0" fontId="36" fillId="3" borderId="57" xfId="0" applyNumberFormat="1" applyFont="1" applyFill="1" applyBorder="1" applyAlignment="1">
      <x:alignment horizontal="center" vertical="center"/>
    </x:xf>
    <x:xf numFmtId="0" fontId="36" fillId="3" borderId="58" xfId="0" applyNumberFormat="1" applyFont="1" applyFill="1" applyBorder="1" applyAlignment="1">
      <x:alignment horizontal="center" vertical="center"/>
    </x:xf>
    <x:xf numFmtId="0" fontId="36" fillId="3" borderId="59" xfId="0" applyNumberFormat="1" applyFont="1" applyFill="1" applyBorder="1" applyAlignment="1">
      <x:alignment horizontal="center" vertical="center"/>
    </x:xf>
    <x:xf numFmtId="0" fontId="11" fillId="7" borderId="0" xfId="0" applyNumberFormat="1" applyFont="1" applyFill="1" applyBorder="1" applyAlignment="1">
      <x:alignment horizontal="center" vertical="center"/>
    </x:xf>
    <x:xf numFmtId="0" fontId="11" fillId="7" borderId="1" xfId="0" applyNumberFormat="1" applyFont="1" applyFill="1" applyBorder="1" applyAlignment="1">
      <x:alignment horizontal="center" vertical="center"/>
    </x:xf>
    <x:xf numFmtId="0" fontId="37" fillId="15" borderId="0" xfId="0" applyNumberFormat="1" applyFont="1" applyFill="1" applyBorder="1" applyAlignment="1">
      <x:alignment horizontal="center" vertical="center"/>
    </x:xf>
    <x:xf numFmtId="0" fontId="37" fillId="15" borderId="1" xfId="0" applyNumberFormat="1" applyFont="1" applyFill="1" applyBorder="1" applyAlignment="1">
      <x:alignment horizontal="center" vertical="center"/>
    </x:xf>
    <x:xf numFmtId="0" fontId="38" fillId="7" borderId="0" xfId="0" applyNumberFormat="1" applyFont="1" applyFill="1" applyBorder="1" applyAlignment="1">
      <x:alignment horizontal="center" vertical="center"/>
    </x:xf>
    <x:xf numFmtId="0" fontId="38" fillId="7" borderId="1" xfId="0" applyNumberFormat="1" applyFont="1" applyFill="1" applyBorder="1" applyAlignment="1">
      <x:alignment horizontal="center" vertical="center"/>
    </x:xf>
    <x:xf numFmtId="0" fontId="39" fillId="15" borderId="0" xfId="0" applyNumberFormat="1" applyFont="1" applyFill="1" applyBorder="1" applyAlignment="1">
      <x:alignment horizontal="center" vertical="center"/>
    </x:xf>
    <x:xf numFmtId="0" fontId="39" fillId="15" borderId="0" xfId="0" applyNumberFormat="1" applyFont="1" applyFill="1" applyBorder="1" applyAlignment="1">
      <x:alignment horizontal="center" vertical="center" wrapText="1"/>
    </x:xf>
    <x:xf numFmtId="0" fontId="39" fillId="15" borderId="1" xfId="0" applyNumberFormat="1" applyFont="1" applyFill="1" applyBorder="1" applyAlignment="1">
      <x:alignment horizontal="center" vertical="center"/>
    </x:xf>
    <x:xf numFmtId="0" fontId="39" fillId="15" borderId="1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40" fillId="2" borderId="0" xfId="0" applyNumberFormat="1" applyFont="1" applyFill="1" applyBorder="1" applyAlignment="1">
      <x:alignment horizontal="center" vertical="center"/>
    </x:xf>
    <x:xf numFmtId="0" fontId="40" fillId="2" borderId="1" xfId="0" applyNumberFormat="1" applyFont="1" applyFill="1" applyBorder="1" applyAlignment="1">
      <x:alignment horizontal="center" vertical="center"/>
    </x:xf>
    <x:xf numFmtId="0" fontId="1" fillId="15" borderId="0" xfId="0" applyNumberFormat="1" applyFont="1" applyFill="1" applyBorder="1" applyAlignment="1">
      <x:alignment horizontal="center" vertical="center"/>
    </x:xf>
    <x:xf numFmtId="0" fontId="1" fillId="15" borderId="1" xfId="0" applyNumberFormat="1" applyFont="1" applyFill="1" applyBorder="1" applyAlignment="1">
      <x:alignment horizontal="center" vertical="center"/>
    </x:xf>
    <x:xf numFmtId="0" fontId="41" fillId="15" borderId="0" xfId="0" applyNumberFormat="1" applyFont="1" applyFill="1" applyBorder="1" applyAlignment="1">
      <x:alignment horizontal="center" vertical="center"/>
    </x:xf>
    <x:xf numFmtId="0" fontId="41" fillId="15" borderId="1" xfId="0" applyNumberFormat="1" applyFont="1" applyFill="1" applyBorder="1" applyAlignment="1">
      <x:alignment horizontal="center" vertical="center"/>
    </x:xf>
    <x:xf numFmtId="0" fontId="42" fillId="15" borderId="0" xfId="0" applyNumberFormat="1" applyFont="1" applyFill="1" applyBorder="1" applyAlignment="1">
      <x:alignment horizontal="center" vertical="center"/>
    </x:xf>
    <x:xf numFmtId="0" fontId="42" fillId="15" borderId="1" xfId="0" applyNumberFormat="1" applyFont="1" applyFill="1" applyBorder="1" applyAlignment="1">
      <x:alignment horizontal="center" vertical="center"/>
    </x:xf>
    <x:xf numFmtId="0" fontId="43" fillId="15" borderId="0" xfId="0" applyNumberFormat="1" applyFont="1" applyFill="1" applyBorder="1" applyAlignment="1">
      <x:alignment horizontal="center" vertical="center"/>
    </x:xf>
    <x:xf numFmtId="0" fontId="43" fillId="15" borderId="1" xfId="0" applyNumberFormat="1" applyFont="1" applyFill="1" applyBorder="1" applyAlignment="1">
      <x:alignment horizontal="center" vertical="center"/>
    </x:xf>
    <x:xf numFmtId="0" fontId="44" fillId="15" borderId="0" xfId="0" applyNumberFormat="1" applyFont="1" applyFill="1" applyBorder="1" applyAlignment="1">
      <x:alignment horizontal="center" vertical="center"/>
    </x:xf>
    <x:xf numFmtId="0" fontId="44" fillId="15" borderId="1" xfId="0" applyNumberFormat="1" applyFont="1" applyFill="1" applyBorder="1" applyAlignment="1">
      <x:alignment horizontal="center" vertical="center"/>
    </x:xf>
    <x:xf numFmtId="0" fontId="45" fillId="15" borderId="0" xfId="0" applyNumberFormat="1" applyFont="1" applyFill="1" applyBorder="1" applyAlignment="1">
      <x:alignment horizontal="center" vertical="center"/>
    </x:xf>
    <x:xf numFmtId="0" fontId="45" fillId="15" borderId="1" xfId="0" applyNumberFormat="1" applyFont="1" applyFill="1" applyBorder="1" applyAlignment="1">
      <x:alignment horizontal="center" vertical="center"/>
    </x:xf>
    <x:xf numFmtId="0" fontId="46" fillId="15" borderId="0" xfId="0" applyNumberFormat="1" applyFont="1" applyFill="1" applyBorder="1" applyAlignment="1">
      <x:alignment horizontal="center" vertical="center"/>
    </x:xf>
    <x:xf numFmtId="0" fontId="46" fillId="15" borderId="1" xfId="0" applyNumberFormat="1" applyFont="1" applyFill="1" applyBorder="1" applyAlignment="1">
      <x:alignment horizontal="center" vertical="center"/>
    </x:xf>
    <x:xf numFmtId="0" fontId="28" fillId="7" borderId="0" xfId="0" applyNumberFormat="1" applyFont="1" applyFill="1" applyBorder="1" applyAlignment="1">
      <x:alignment vertical="center"/>
    </x:xf>
    <x:xf numFmtId="0" fontId="28" fillId="7" borderId="0" xfId="0" applyNumberFormat="1" applyFont="1" applyFill="1" applyBorder="1" applyAlignment="1">
      <x:alignment horizontal="left" vertical="center"/>
    </x:xf>
    <x:xf numFmtId="0" fontId="28" fillId="7" borderId="1" xfId="0" applyNumberFormat="1" applyFont="1" applyFill="1" applyBorder="1" applyAlignment="1">
      <x:alignment vertical="center"/>
    </x:xf>
    <x:xf numFmtId="0" fontId="28" fillId="7" borderId="1" xfId="0" applyNumberFormat="1" applyFont="1" applyFill="1" applyBorder="1" applyAlignment="1">
      <x:alignment horizontal="left" vertical="center"/>
    </x:xf>
    <x:xf numFmtId="0" fontId="1" fillId="26" borderId="0" xfId="0" applyNumberFormat="1" applyFont="1" applyFill="1" applyBorder="1" applyAlignment="1">
      <x:alignment vertical="center"/>
    </x:xf>
    <x:xf numFmtId="0" fontId="1" fillId="26" borderId="0" xfId="0" applyNumberFormat="1" applyFont="1" applyFill="1" applyBorder="1" applyAlignment="1">
      <x:alignment vertical="center" wrapText="1"/>
    </x:xf>
    <x:xf numFmtId="0" fontId="1" fillId="26" borderId="0" xfId="0" applyNumberFormat="1" applyFont="1" applyFill="1" applyBorder="1" applyAlignment="1">
      <x:alignment horizontal="left" vertical="center" wrapText="1"/>
    </x:xf>
    <x:xf numFmtId="0" fontId="1" fillId="26" borderId="1" xfId="0" applyNumberFormat="1" applyFont="1" applyFill="1" applyBorder="1" applyAlignment="1">
      <x:alignment vertical="center"/>
    </x:xf>
    <x:xf numFmtId="0" fontId="1" fillId="26" borderId="1" xfId="0" applyNumberFormat="1" applyFont="1" applyFill="1" applyBorder="1" applyAlignment="1">
      <x:alignment vertical="center" wrapText="1"/>
    </x:xf>
    <x:xf numFmtId="0" fontId="1" fillId="26" borderId="1" xfId="0" applyNumberFormat="1" applyFont="1" applyFill="1" applyBorder="1" applyAlignment="1">
      <x:alignment horizontal="left" vertical="center" wrapText="1"/>
    </x:xf>
    <x:xf numFmtId="0" fontId="32" fillId="0" borderId="0" xfId="0" applyNumberFormat="1" applyFont="1" applyFill="1" applyBorder="1" applyAlignment="1">
      <x:alignment vertical="center"/>
    </x:xf>
    <x:xf numFmtId="0" fontId="32" fillId="0" borderId="1" xfId="0" applyNumberFormat="1" applyFont="1" applyFill="1" applyBorder="1" applyAlignment="1">
      <x:alignment vertical="center"/>
    </x:xf>
    <x:xf numFmtId="0" fontId="47" fillId="0" borderId="0" xfId="0" applyNumberFormat="1" applyFont="1" applyFill="1" applyBorder="1" applyAlignment="1">
      <x:alignment vertical="center"/>
    </x:xf>
    <x:xf numFmtId="0" fontId="47" fillId="0" borderId="1" xfId="0" applyNumberFormat="1" applyFont="1" applyFill="1" applyBorder="1" applyAlignment="1">
      <x:alignment vertical="center"/>
    </x:xf>
    <x:xf numFmtId="0" fontId="48" fillId="0" borderId="0" xfId="0" applyNumberFormat="1" applyFont="1" applyFill="1" applyBorder="1" applyAlignment="1">
      <x:alignment vertical="center"/>
    </x:xf>
    <x:xf numFmtId="0" fontId="48" fillId="0" borderId="1" xfId="0" applyNumberFormat="1" applyFont="1" applyFill="1" applyBorder="1" applyAlignment="1">
      <x:alignment vertical="center"/>
    </x:xf>
    <x:xf numFmtId="0" fontId="48" fillId="0" borderId="0" xfId="0" applyNumberFormat="1" applyFont="1" applyFill="1" applyBorder="1"/>
    <x:xf numFmtId="0" fontId="48" fillId="0" borderId="1" xfId="0" applyNumberFormat="1" applyFont="1" applyFill="1" applyBorder="1"/>
    <x:xf numFmtId="0" fontId="49" fillId="19" borderId="0" xfId="0" applyNumberFormat="1" applyFont="1" applyFill="1" applyBorder="1" applyAlignment="1">
      <x:alignment horizontal="center" vertical="center"/>
    </x:xf>
    <x:xf numFmtId="0" fontId="49" fillId="19" borderId="1" xfId="0" applyNumberFormat="1" applyFont="1" applyFill="1" applyBorder="1" applyAlignment="1">
      <x:alignment horizontal="center" vertical="center"/>
    </x:xf>
    <x:xf numFmtId="0" fontId="50" fillId="19" borderId="0" xfId="0" applyNumberFormat="1" applyFont="1" applyFill="1" applyBorder="1" applyAlignment="1">
      <x:alignment horizontal="center" vertical="center"/>
    </x:xf>
    <x:xf numFmtId="0" fontId="50" fillId="19" borderId="1" xfId="0" applyNumberFormat="1" applyFont="1" applyFill="1" applyBorder="1" applyAlignment="1">
      <x:alignment horizontal="center" vertical="center"/>
    </x:xf>
    <x:xf numFmtId="0" fontId="50" fillId="24" borderId="0" xfId="0" applyNumberFormat="1" applyFont="1" applyFill="1" applyBorder="1" applyAlignment="1">
      <x:alignment horizontal="center" vertical="center"/>
    </x:xf>
    <x:xf numFmtId="0" fontId="50" fillId="24" borderId="1" xfId="0" applyNumberFormat="1" applyFont="1" applyFill="1" applyBorder="1" applyAlignment="1">
      <x:alignment horizontal="center" vertical="center"/>
    </x:xf>
    <x:xf numFmtId="0" fontId="50" fillId="23" borderId="18" xfId="0" applyNumberFormat="1" applyFont="1" applyFill="1" applyBorder="1" applyAlignment="1">
      <x:alignment horizontal="center" vertical="center"/>
    </x:xf>
    <x:xf numFmtId="0" fontId="50" fillId="23" borderId="24" xfId="0" applyNumberFormat="1" applyFont="1" applyFill="1" applyBorder="1" applyAlignment="1">
      <x:alignment horizontal="center" vertical="center"/>
    </x:xf>
    <x:xf numFmtId="0" fontId="49" fillId="23" borderId="17" xfId="0" applyNumberFormat="1" applyFont="1" applyFill="1" applyBorder="1" applyAlignment="1">
      <x:alignment horizontal="center" vertical="center"/>
    </x:xf>
    <x:xf numFmtId="0" fontId="49" fillId="23" borderId="23" xfId="0" applyNumberFormat="1" applyFont="1" applyFill="1" applyBorder="1" applyAlignment="1">
      <x:alignment horizontal="center" vertical="center"/>
    </x:xf>
    <x:xf numFmtId="0" fontId="49" fillId="22" borderId="16" xfId="0" applyNumberFormat="1" applyFont="1" applyFill="1" applyBorder="1" applyAlignment="1">
      <x:alignment horizontal="center" vertical="center"/>
    </x:xf>
    <x:xf numFmtId="0" fontId="49" fillId="22" borderId="22" xfId="0" applyNumberFormat="1" applyFont="1" applyFill="1" applyBorder="1" applyAlignment="1">
      <x:alignment horizontal="center" vertical="center"/>
    </x:xf>
    <x:xf numFmtId="0" fontId="50" fillId="22" borderId="19" xfId="0" applyNumberFormat="1" applyFont="1" applyFill="1" applyBorder="1" applyAlignment="1">
      <x:alignment horizontal="center" vertical="center"/>
    </x:xf>
    <x:xf numFmtId="0" fontId="50" fillId="22" borderId="25" xfId="0" applyNumberFormat="1" applyFont="1" applyFill="1" applyBorder="1" applyAlignment="1">
      <x:alignment horizontal="center" vertical="center"/>
    </x:xf>
    <x:xf numFmtId="0" fontId="50" fillId="23" borderId="17" xfId="0" applyNumberFormat="1" applyFont="1" applyFill="1" applyBorder="1" applyAlignment="1">
      <x:alignment horizontal="center" vertical="center"/>
    </x:xf>
    <x:xf numFmtId="0" fontId="50" fillId="23" borderId="23" xfId="0" applyNumberFormat="1" applyFont="1" applyFill="1" applyBorder="1" applyAlignment="1">
      <x:alignment horizontal="center" vertical="center"/>
    </x:xf>
    <x:xf numFmtId="0" fontId="28" fillId="25" borderId="0" xfId="0" applyNumberFormat="1" applyFont="1" applyFill="1" applyBorder="1" applyAlignment="1">
      <x:alignment horizontal="center" vertical="center"/>
    </x:xf>
    <x:xf numFmtId="0" fontId="28" fillId="25" borderId="1" xfId="0" applyNumberFormat="1" applyFont="1" applyFill="1" applyBorder="1" applyAlignment="1">
      <x:alignment horizontal="center" vertical="center"/>
    </x:xf>
    <x:xf numFmtId="0" fontId="28" fillId="3" borderId="0" xfId="0" applyNumberFormat="1" applyFont="1" applyFill="1" applyBorder="1" applyAlignment="1">
      <x:alignment horizontal="center" vertical="center"/>
    </x:xf>
    <x:xf numFmtId="0" fontId="28" fillId="3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86">
    <x:dxf>
      <x:font>
        <x:b/>
        <x:color rgb="FF926500"/>
      </x:font>
      <x:fill>
        <x:patternFill patternType="solid">
          <x:bgColor rgb="FFFFF0B7"/>
        </x:patternFill>
      </x:fill>
    </x:dxf>
    <x:dxf>
      <x:font>
        <x:b/>
        <x:color rgb="FFAE3529"/>
      </x:font>
      <x:fill>
        <x:patternFill patternType="solid">
          <x:bgColor rgb="FFFFE0DD"/>
        </x:patternFill>
      </x:fill>
    </x:dxf>
    <x:dxf>
      <x:font>
        <x:b/>
        <x:sz val="9"/>
        <x:color rgb="FFFFFFFF"/>
        <x:name val="Arial"/>
      </x:font>
      <x:fill>
        <x:patternFill patternType="solid">
          <x:bgColor rgb="FFE33B42"/>
        </x:patternFill>
      </x:fill>
    </x:dxf>
    <x:dxf>
      <x:font>
        <x:b/>
        <x:color rgb="FFE33B42"/>
      </x:font>
    </x:dxf>
    <x:dxf>
      <x:font>
        <x:b/>
        <x:color rgb="FFE33B42"/>
      </x:font>
    </x:dxf>
    <x:dxf>
      <x:font>
        <x:b/>
        <x:color rgb="FFE33B42"/>
      </x:font>
    </x:dxf>
    <x:dxf>
      <x:font>
        <x:b/>
        <x:color rgb="FFE33B42"/>
      </x:font>
    </x:dxf>
    <x:dxf>
      <x:font>
        <x:b/>
        <x:color rgb="FFE33B42"/>
      </x:font>
    </x:dxf>
    <x:dxf>
      <x:font>
        <x:b/>
        <x:color rgb="FFE33B42"/>
      </x:font>
    </x:dxf>
    <x:dxf>
      <x:font>
        <x:b/>
        <x:sz val="9"/>
        <x:color rgb="FFFFFFFF"/>
        <x:name val="Arial"/>
      </x:font>
      <x:fill>
        <x:patternFill patternType="solid">
          <x:bgColor rgb="FF1976D2"/>
        </x:patternFill>
      </x:fill>
    </x:dxf>
    <x:dxf>
      <x:font>
        <x:b/>
        <x:color rgb="FF1976D2"/>
      </x:font>
    </x:dxf>
    <x:dxf>
      <x:font>
        <x:b/>
        <x:color rgb="FF1976D2"/>
      </x:font>
    </x:dxf>
    <x:dxf>
      <x:font>
        <x:b/>
        <x:color rgb="FF1976D2"/>
      </x:font>
    </x:dxf>
    <x:dxf>
      <x:font>
        <x:b/>
        <x:color rgb="FF1976D2"/>
      </x:font>
    </x:dxf>
    <x:dxf>
      <x:font>
        <x:b/>
        <x:color rgb="FF1976D2"/>
      </x:font>
    </x:dxf>
    <x:dxf>
      <x:font>
        <x:b/>
        <x:color rgb="FF1976D2"/>
      </x:font>
    </x:dxf>
    <x:dxf>
      <x:font>
        <x:b/>
        <x:sz val="9"/>
        <x:color rgb="FFFFFFFF"/>
        <x:name val="Arial"/>
      </x:font>
      <x:fill>
        <x:patternFill patternType="solid">
          <x:bgColor rgb="FFE88713"/>
        </x:patternFill>
      </x:fill>
    </x:dxf>
    <x:dxf>
      <x:font>
        <x:b/>
        <x:color rgb="FFE88713"/>
      </x:font>
    </x:dxf>
    <x:dxf>
      <x:font>
        <x:b/>
        <x:color rgb="FFE88713"/>
      </x:font>
    </x:dxf>
    <x:dxf>
      <x:font>
        <x:b/>
        <x:color rgb="FFE88713"/>
      </x:font>
    </x:dxf>
    <x:dxf>
      <x:font>
        <x:b/>
        <x:color rgb="FFE88713"/>
      </x:font>
    </x:dxf>
    <x:dxf>
      <x:font>
        <x:b/>
        <x:color rgb="FFE88713"/>
      </x:font>
    </x:dxf>
    <x:dxf>
      <x:font>
        <x:b/>
        <x:color rgb="FFE88713"/>
      </x:font>
    </x:dxf>
    <x:dxf>
      <x:font>
        <x:b/>
        <x:sz val="9"/>
        <x:color rgb="FFFFFFFF"/>
        <x:name val="Arial"/>
      </x:font>
      <x:fill>
        <x:patternFill patternType="solid">
          <x:bgColor rgb="FF864DD2"/>
        </x:patternFill>
      </x:fill>
    </x:dxf>
    <x:dxf>
      <x:font>
        <x:b/>
        <x:color rgb="FF864DD2"/>
      </x:font>
    </x:dxf>
    <x:dxf>
      <x:font>
        <x:b/>
        <x:color rgb="FF864DD2"/>
      </x:font>
    </x:dxf>
    <x:dxf>
      <x:font>
        <x:b/>
        <x:color rgb="FF864DD2"/>
      </x:font>
    </x:dxf>
    <x:dxf>
      <x:font>
        <x:b/>
        <x:color rgb="FF864DD2"/>
      </x:font>
    </x:dxf>
    <x:dxf>
      <x:font>
        <x:b/>
        <x:color rgb="FF864DD2"/>
      </x:font>
    </x:dxf>
    <x:dxf>
      <x:font>
        <x:b/>
        <x:color rgb="FF864DD2"/>
      </x:font>
    </x:dxf>
    <x:dxf>
      <x:font>
        <x:b/>
        <x:sz val="9"/>
        <x:color rgb="FFFFFFFF"/>
        <x:name val="Arial"/>
      </x:font>
      <x:fill>
        <x:patternFill patternType="solid">
          <x:bgColor rgb="FF079E8A"/>
        </x:patternFill>
      </x:fill>
    </x:dxf>
    <x:dxf>
      <x:font>
        <x:b/>
        <x:color rgb="FF079E8A"/>
      </x:font>
    </x:dxf>
    <x:dxf>
      <x:font>
        <x:b/>
        <x:color rgb="FF079E8A"/>
      </x:font>
    </x:dxf>
    <x:dxf>
      <x:font>
        <x:b/>
        <x:color rgb="FF079E8A"/>
      </x:font>
    </x:dxf>
    <x:dxf>
      <x:font>
        <x:b/>
        <x:color rgb="FF079E8A"/>
      </x:font>
    </x:dxf>
    <x:dxf>
      <x:font>
        <x:b/>
        <x:color rgb="FF079E8A"/>
      </x:font>
    </x:dxf>
    <x:dxf>
      <x:font>
        <x:b/>
        <x:color rgb="FF079E8A"/>
      </x:font>
    </x:dxf>
    <x:dxf>
      <x:font>
        <x:b/>
        <x:sz val="9"/>
        <x:color rgb="FFFFFFFF"/>
        <x:name val="Arial"/>
      </x:font>
      <x:fill>
        <x:patternFill patternType="solid">
          <x:bgColor rgb="FFE34892"/>
        </x:patternFill>
      </x:fill>
    </x:dxf>
    <x:dxf>
      <x:font>
        <x:b/>
        <x:color rgb="FFE34892"/>
      </x:font>
    </x:dxf>
    <x:dxf>
      <x:font>
        <x:b/>
        <x:color rgb="FFE34892"/>
      </x:font>
    </x:dxf>
    <x:dxf>
      <x:font>
        <x:b/>
        <x:color rgb="FFE34892"/>
      </x:font>
    </x:dxf>
    <x:dxf>
      <x:font>
        <x:b/>
        <x:color rgb="FFE34892"/>
      </x:font>
    </x:dxf>
    <x:dxf>
      <x:font>
        <x:b/>
        <x:color rgb="FFE34892"/>
      </x:font>
    </x:dxf>
    <x:dxf>
      <x:font>
        <x:b/>
        <x:color rgb="FFE34892"/>
      </x:font>
    </x:dxf>
    <x:dxf>
      <x:font>
        <x:b/>
        <x:sz val="8"/>
        <x:color rgb="FFFFFFFF"/>
        <x:name val="Arial"/>
      </x:font>
      <x:fill>
        <x:patternFill patternType="solid">
          <x:bgColor rgb="FFE33B42"/>
        </x:patternFill>
      </x:fill>
    </x:dxf>
    <x:dxf>
      <x:font>
        <x:b/>
        <x:sz val="8"/>
        <x:color rgb="FFFFFFFF"/>
        <x:name val="Arial"/>
      </x:font>
      <x:fill>
        <x:patternFill patternType="solid">
          <x:bgColor rgb="FF1976D2"/>
        </x:patternFill>
      </x:fill>
    </x:dxf>
    <x:dxf>
      <x:font>
        <x:b/>
        <x:sz val="8"/>
        <x:color rgb="FFFFFFFF"/>
        <x:name val="Arial"/>
      </x:font>
      <x:fill>
        <x:patternFill patternType="solid">
          <x:bgColor rgb="FFE88713"/>
        </x:patternFill>
      </x:fill>
    </x:dxf>
    <x:dxf>
      <x:font>
        <x:b/>
        <x:sz val="8"/>
        <x:color rgb="FFFFFFFF"/>
        <x:name val="Arial"/>
      </x:font>
      <x:fill>
        <x:patternFill patternType="solid">
          <x:bgColor rgb="FF864DD2"/>
        </x:patternFill>
      </x:fill>
    </x:dxf>
    <x:dxf>
      <x:font>
        <x:b/>
        <x:sz val="8"/>
        <x:color rgb="FFFFFFFF"/>
        <x:name val="Arial"/>
      </x:font>
      <x:fill>
        <x:patternFill patternType="solid">
          <x:bgColor rgb="FF079E8A"/>
        </x:patternFill>
      </x:fill>
    </x:dxf>
    <x:dxf>
      <x:font>
        <x:b/>
        <x:sz val="8"/>
        <x:color rgb="FFFFFFFF"/>
        <x:name val="Arial"/>
      </x:font>
      <x:fill>
        <x:patternFill patternType="solid">
          <x:bgColor rgb="FFE34892"/>
        </x:patternFill>
      </x:fill>
    </x:dxf>
    <x:dxf>
      <x:font>
        <x:b/>
        <x:color rgb="FFFFFFFF"/>
      </x:font>
      <x:fill>
        <x:patternFill patternType="solid">
          <x:bgColor rgb="FFE33B42"/>
        </x:patternFill>
      </x:fill>
    </x:dxf>
    <x:dxf>
      <x:font>
        <x:b/>
        <x:color rgb="FFFFFFFF"/>
      </x:font>
      <x:fill>
        <x:patternFill patternType="solid">
          <x:bgColor rgb="FF1976D2"/>
        </x:patternFill>
      </x:fill>
    </x:dxf>
    <x:dxf>
      <x:font>
        <x:b/>
        <x:color rgb="FFFFFFFF"/>
      </x:font>
      <x:fill>
        <x:patternFill patternType="solid">
          <x:bgColor rgb="FFE88713"/>
        </x:patternFill>
      </x:fill>
    </x:dxf>
    <x:dxf>
      <x:font>
        <x:b/>
        <x:color rgb="FFFFFFFF"/>
      </x:font>
      <x:fill>
        <x:patternFill patternType="solid">
          <x:bgColor rgb="FF864DD2"/>
        </x:patternFill>
      </x:fill>
    </x:dxf>
    <x:dxf>
      <x:font>
        <x:b/>
        <x:color rgb="FFFFFFFF"/>
      </x:font>
      <x:fill>
        <x:patternFill patternType="solid">
          <x:bgColor rgb="FF079E8A"/>
        </x:patternFill>
      </x:fill>
    </x:dxf>
    <x:dxf>
      <x:font>
        <x:b/>
        <x:color rgb="FFFFFFFF"/>
      </x:font>
      <x:fill>
        <x:patternFill patternType="solid">
          <x:bgColor rgb="FFE34892"/>
        </x:patternFill>
      </x:fill>
    </x:dxf>
    <x:dxf>
      <x:font>
        <x:b/>
        <x:color rgb="FFFFFFFF"/>
      </x:font>
      <x:fill>
        <x:patternFill patternType="solid">
          <x:bgColor rgb="FFE33B42"/>
        </x:patternFill>
      </x:fill>
    </x:dxf>
    <x:dxf>
      <x:font>
        <x:b/>
        <x:color rgb="FFFFFFFF"/>
      </x:font>
      <x:fill>
        <x:patternFill patternType="solid">
          <x:bgColor rgb="FF1976D2"/>
        </x:patternFill>
      </x:fill>
    </x:dxf>
    <x:dxf>
      <x:font>
        <x:b/>
        <x:color rgb="FFFFFFFF"/>
      </x:font>
      <x:fill>
        <x:patternFill patternType="solid">
          <x:bgColor rgb="FFE88713"/>
        </x:patternFill>
      </x:fill>
    </x:dxf>
    <x:dxf>
      <x:font>
        <x:b/>
        <x:color rgb="FFFFFFFF"/>
      </x:font>
      <x:fill>
        <x:patternFill patternType="solid">
          <x:bgColor rgb="FF864DD2"/>
        </x:patternFill>
      </x:fill>
    </x:dxf>
    <x:dxf>
      <x:font>
        <x:b/>
        <x:color rgb="FFFFFFFF"/>
      </x:font>
      <x:fill>
        <x:patternFill patternType="solid">
          <x:bgColor rgb="FF079E8A"/>
        </x:patternFill>
      </x:fill>
    </x:dxf>
    <x:dxf>
      <x:font>
        <x:b/>
        <x:color rgb="FFFFFFFF"/>
      </x:font>
      <x:fill>
        <x:patternFill patternType="solid">
          <x:bgColor rgb="FFE34892"/>
        </x:patternFill>
      </x:fill>
    </x:dxf>
    <x:dxf>
      <x:font>
        <x:b/>
        <x:color rgb="FFFFFFFF"/>
      </x:font>
      <x:fill>
        <x:patternFill patternType="solid">
          <x:bgColor rgb="FFE33B42"/>
        </x:patternFill>
      </x:fill>
    </x:dxf>
    <x:dxf>
      <x:font>
        <x:b/>
        <x:color rgb="FFFFFFFF"/>
      </x:font>
      <x:fill>
        <x:patternFill patternType="solid">
          <x:bgColor rgb="FF1976D2"/>
        </x:patternFill>
      </x:fill>
    </x:dxf>
    <x:dxf>
      <x:font>
        <x:b/>
        <x:color rgb="FFFFFFFF"/>
      </x:font>
      <x:fill>
        <x:patternFill patternType="solid">
          <x:bgColor rgb="FFE88713"/>
        </x:patternFill>
      </x:fill>
    </x:dxf>
    <x:dxf>
      <x:font>
        <x:b/>
        <x:color rgb="FFFFFFFF"/>
      </x:font>
      <x:fill>
        <x:patternFill patternType="solid">
          <x:bgColor rgb="FF864DD2"/>
        </x:patternFill>
      </x:fill>
    </x:dxf>
    <x:dxf>
      <x:font>
        <x:b/>
        <x:color rgb="FFFFFFFF"/>
      </x:font>
      <x:fill>
        <x:patternFill patternType="solid">
          <x:bgColor rgb="FF079E8A"/>
        </x:patternFill>
      </x:fill>
    </x:dxf>
    <x:dxf>
      <x:font>
        <x:b/>
        <x:color rgb="FFFFFFFF"/>
      </x:font>
      <x:fill>
        <x:patternFill patternType="solid">
          <x:bgColor rgb="FFE34892"/>
        </x:patternFill>
      </x:fill>
    </x:dxf>
    <x:dxf>
      <x:font>
        <x:b/>
        <x:color rgb="FFFFFFFF"/>
      </x:font>
      <x:fill>
        <x:patternFill patternType="solid">
          <x:bgColor rgb="FFE33B42"/>
        </x:patternFill>
      </x:fill>
    </x:dxf>
    <x:dxf>
      <x:font>
        <x:b/>
        <x:color rgb="FFFFFFFF"/>
      </x:font>
      <x:fill>
        <x:patternFill patternType="solid">
          <x:bgColor rgb="FF1976D2"/>
        </x:patternFill>
      </x:fill>
    </x:dxf>
    <x:dxf>
      <x:font>
        <x:b/>
        <x:color rgb="FFFFFFFF"/>
      </x:font>
      <x:fill>
        <x:patternFill patternType="solid">
          <x:bgColor rgb="FFE88713"/>
        </x:patternFill>
      </x:fill>
    </x:dxf>
    <x:dxf>
      <x:font>
        <x:b/>
        <x:color rgb="FFFFFFFF"/>
      </x:font>
      <x:fill>
        <x:patternFill patternType="solid">
          <x:bgColor rgb="FF864DD2"/>
        </x:patternFill>
      </x:fill>
    </x:dxf>
    <x:dxf>
      <x:font>
        <x:b/>
        <x:color rgb="FFFFFFFF"/>
      </x:font>
      <x:fill>
        <x:patternFill patternType="solid">
          <x:bgColor rgb="FF079E8A"/>
        </x:patternFill>
      </x:fill>
    </x:dxf>
    <x:dxf>
      <x:font>
        <x:b/>
        <x:color rgb="FFFFFFFF"/>
      </x:font>
      <x:fill>
        <x:patternFill patternType="solid">
          <x:bgColor rgb="FFE34892"/>
        </x:patternFill>
      </x:fill>
    </x:dxf>
    <x:dxf>
      <x:font>
        <x:b/>
        <x:color rgb="FFFFFFFF"/>
      </x:font>
      <x:fill>
        <x:patternFill patternType="solid">
          <x:bgColor rgb="FFE33B42"/>
        </x:patternFill>
      </x:fill>
    </x:dxf>
    <x:dxf>
      <x:font>
        <x:b/>
        <x:color rgb="FFFFFFFF"/>
      </x:font>
      <x:fill>
        <x:patternFill patternType="solid">
          <x:bgColor rgb="FF1976D2"/>
        </x:patternFill>
      </x:fill>
    </x:dxf>
    <x:dxf>
      <x:font>
        <x:b/>
        <x:color rgb="FFFFFFFF"/>
      </x:font>
      <x:fill>
        <x:patternFill patternType="solid">
          <x:bgColor rgb="FFE88713"/>
        </x:patternFill>
      </x:fill>
    </x:dxf>
    <x:dxf>
      <x:font>
        <x:b/>
        <x:color rgb="FFFFFFFF"/>
      </x:font>
      <x:fill>
        <x:patternFill patternType="solid">
          <x:bgColor rgb="FF864DD2"/>
        </x:patternFill>
      </x:fill>
    </x:dxf>
    <x:dxf>
      <x:font>
        <x:b/>
        <x:color rgb="FFFFFFFF"/>
      </x:font>
      <x:fill>
        <x:patternFill patternType="solid">
          <x:bgColor rgb="FF079E8A"/>
        </x:patternFill>
      </x:fill>
    </x:dxf>
    <x:dxf>
      <x:font>
        <x:b/>
        <x:color rgb="FFFFFFFF"/>
      </x:font>
      <x:fill>
        <x:patternFill patternType="solid">
          <x:bgColor rgb="FFE34892"/>
        </x:patternFill>
      </x:fill>
    </x:dxf>
    <x:dxf>
      <x:font>
        <x:b/>
        <x:color rgb="FFFFFFFF"/>
      </x:font>
      <x:fill>
        <x:patternFill patternType="solid">
          <x:bgColor rgb="FFE33B42"/>
        </x:patternFill>
      </x:fill>
    </x:dxf>
    <x:dxf>
      <x:font>
        <x:b/>
        <x:color rgb="FFFFFFFF"/>
      </x:font>
      <x:fill>
        <x:patternFill patternType="solid">
          <x:bgColor rgb="FF1976D2"/>
        </x:patternFill>
      </x:fill>
    </x:dxf>
    <x:dxf>
      <x:font>
        <x:b/>
        <x:color rgb="FFFFFFFF"/>
      </x:font>
      <x:fill>
        <x:patternFill patternType="solid">
          <x:bgColor rgb="FFE88713"/>
        </x:patternFill>
      </x:fill>
    </x:dxf>
    <x:dxf>
      <x:font>
        <x:b/>
        <x:color rgb="FFFFFFFF"/>
      </x:font>
      <x:fill>
        <x:patternFill patternType="solid">
          <x:bgColor rgb="FF864DD2"/>
        </x:patternFill>
      </x:fill>
    </x:dxf>
    <x:dxf>
      <x:font>
        <x:b/>
        <x:color rgb="FFFFFFFF"/>
      </x:font>
      <x:fill>
        <x:patternFill patternType="solid">
          <x:bgColor rgb="FF079E8A"/>
        </x:patternFill>
      </x:fill>
    </x:dxf>
    <x:dxf>
      <x:font>
        <x:b/>
        <x:color rgb="FFFFFFFF"/>
      </x:font>
      <x:fill>
        <x:patternFill patternType="solid">
          <x:bgColor rgb="FFE3489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a7f24d7354d14" /><Relationship Type="http://schemas.openxmlformats.org/officeDocument/2006/relationships/theme" Target="/xl/theme/theme1.xml" Id="Rec1e8af44df84236" /><Relationship Type="http://schemas.openxmlformats.org/officeDocument/2006/relationships/sharedStrings" Target="/xl/sharedStrings.xml" Id="Rc0275546028548c7" /><Relationship Type="http://schemas.openxmlformats.org/officeDocument/2006/relationships/worksheet" Target="/xl/worksheets/sheet1.xml" Id="R71ee368b8843410f" /><Relationship Type="http://schemas.openxmlformats.org/officeDocument/2006/relationships/worksheet" Target="/xl/worksheets/sheet2.xml" Id="Ra4c8f42e7afb46f0" /><Relationship Type="http://schemas.openxmlformats.org/officeDocument/2006/relationships/worksheet" Target="/xl/worksheets/sheet3.xml" Id="R50ec4505d92a4e02" /><Relationship Type="http://schemas.openxmlformats.org/officeDocument/2006/relationships/worksheet" Target="/xl/worksheets/sheet4.xml" Id="Rf46b051086bb4a57" /><Relationship Type="http://schemas.openxmlformats.org/officeDocument/2006/relationships/worksheet" Target="/xl/worksheets/sheet5.xml" Id="R5e06b7a182854052" /><Relationship Type="http://schemas.openxmlformats.org/officeDocument/2006/relationships/worksheet" Target="/xl/worksheets/sheet6.xml" Id="R6671de2776054c37" /><Relationship Type="http://schemas.openxmlformats.org/officeDocument/2006/relationships/worksheet" Target="/xl/worksheets/sheet7.xml" Id="Re3cb7776152f4b1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67bb94398574aa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当前累计路程</a:t>
            </a:r>
          </a:p>
        </c:rich>
      </c:tx>
    </c:title>
    <c:plotArea>
      <c:barChart>
        <c:barDir val="bar"/>
        <c:varyColors val="0"/>
        <c:ser>
          <c:idx val="0"/>
          <c:order val="0"/>
          <c:tx>
            <c:v>累计路程 / 格</c:v>
          </c:tx>
          <c:cat>
            <c:strRef>
              <c:f>'Live'!$C$19:$C$24</c:f>
              <c:strCache>
                <c:ptCount val="0"/>
              </c:strCache>
            </c:strRef>
          </c:cat>
          <c:val>
            <c:numRef>
              <c:f>'Live'!$F$19:$F$24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27</xdr:row>
      <xdr:rowOff>0</xdr:rowOff>
    </xdr:from>
    <xdr:to>
      <xdr:col>10</xdr:col>
      <xdr:colOff>0</xdr:colOff>
      <xdr:row>44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67bb94398574aa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DriverTable" displayName="DriverTable" ref="A7:J13" headerRowCount="1" totalsRowCount="0" totalsRowShown="0">
  <x:tableColumns count="10">
    <x:tableColumn id="1" name="车号"/>
    <x:tableColumn id="2" name="车手"/>
    <x:tableColumn id="3" name="车队"/>
    <x:tableColumn id="4" name="基础步长/格"/>
    <x:tableColumn id="5" name="波动幅度/格"/>
    <x:tableColumn id="6" name="加速相位"/>
    <x:tableColumn id="7" name="停车开始帧"/>
    <x:tableColumn id="8" name="车道"/>
    <x:tableColumn id="9" name="发车偏移/格"/>
    <x:tableColumn id="10" name="停车时长/帧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rackMapTable" displayName="TrackMapTable" ref="A7:M141" headerRowCount="1" totalsRowCount="0" totalsRowShown="0">
  <x:tableColumns count="13">
    <x:tableColumn id="1" name="格号"/>
    <x:tableColumn id="2" name="区段"/>
    <x:tableColumn id="3" name="编号行"/>
    <x:tableColumn id="4" name="编号列"/>
    <x:tableColumn id="5" name="编号单元格"/>
    <x:tableColumn id="6" name="方向"/>
    <x:tableColumn id="7" name="车道1行"/>
    <x:tableColumn id="8" name="车道1列"/>
    <x:tableColumn id="9" name="车道1键"/>
    <x:tableColumn id="10" name="车道2行"/>
    <x:tableColumn id="11" name="车道2列"/>
    <x:tableColumn id="12" name="车道2键"/>
    <x:tableColumn id="13" name="速度系数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aceDataTable" displayName="RaceDataTable" ref="A7:R1453" headerRowCount="1" totalsRowCount="0" totalsRowShown="0">
  <x:tableColumns count="18">
    <x:tableColumn id="1" name="帧"/>
    <x:tableColumn id="2" name="车号"/>
    <x:tableColumn id="3" name="车手"/>
    <x:tableColumn id="4" name="上帧累计/格"/>
    <x:tableColumn id="5" name="事件"/>
    <x:tableColumn id="6" name="本帧步长/格"/>
    <x:tableColumn id="7" name="累计路程/格"/>
    <x:tableColumn id="8" name="赛道格号"/>
    <x:tableColumn id="9" name="当前圈"/>
    <x:tableColumn id="10" name="车道"/>
    <x:tableColumn id="11" name="显示坐标键"/>
    <x:tableColumn id="12" name="方向"/>
    <x:tableColumn id="13" name="完赛进度"/>
    <x:tableColumn id="14" name="首次完赛帧"/>
    <x:tableColumn id="15" name="排序分值"/>
    <x:tableColumn id="16" name="当前排名"/>
    <x:tableColumn id="17" name="距领跑/格"/>
    <x:tableColumn id="18" name="当前区段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LiveTimingTable" displayName="LiveTimingTable" ref="A7:T13" headerRowCount="1" totalsRowCount="0" totalsRowShown="0">
  <x:tableColumns count="20">
    <x:tableColumn id="1" name="帧"/>
    <x:tableColumn id="2" name="车号"/>
    <x:tableColumn id="3" name="车手"/>
    <x:tableColumn id="4" name="上帧累计/格"/>
    <x:tableColumn id="5" name="事件"/>
    <x:tableColumn id="6" name="本帧步长/格"/>
    <x:tableColumn id="7" name="累计路程/格"/>
    <x:tableColumn id="8" name="赛道格号"/>
    <x:tableColumn id="9" name="当前圈"/>
    <x:tableColumn id="10" name="车道"/>
    <x:tableColumn id="11" name="显示坐标键"/>
    <x:tableColumn id="12" name="方向"/>
    <x:tableColumn id="13" name="完赛进度"/>
    <x:tableColumn id="14" name="首次完赛帧"/>
    <x:tableColumn id="15" name="排序分值"/>
    <x:tableColumn id="16" name="当前排名"/>
    <x:tableColumn id="17" name="距领跑/格"/>
    <x:tableColumn id="18" name="当前区段"/>
    <x:tableColumn id="19" name="画面坐标键"/>
    <x:tableColumn id="20" name="显示字符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tandingsTable" displayName="StandingsTable" ref="A18:J24" headerRowCount="1" totalsRowCount="0" totalsRowShown="0">
  <x:tableColumns count="10">
    <x:tableColumn id="1" name="名次"/>
    <x:tableColumn id="2" name="车号"/>
    <x:tableColumn id="3" name="车手"/>
    <x:tableColumn id="4" name="车队"/>
    <x:tableColumn id="5" name="当前圈"/>
    <x:tableColumn id="6" name="累计路程/格"/>
    <x:tableColumn id="7" name="距领跑/格"/>
    <x:tableColumn id="8" name="事件"/>
    <x:tableColumn id="9" name="完赛进度"/>
    <x:tableColumn id="10" name="完赛时刻/秒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db6f35b462da4d6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c5e71f756a4543a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1565e6663daa4ee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fee9a9003b2e41e5" /><Relationship Type="http://schemas.openxmlformats.org/officeDocument/2006/relationships/table" Target="/xl/tables/table4.xml" Id="R7edb21abc4054d9b" /><Relationship Type="http://schemas.openxmlformats.org/officeDocument/2006/relationships/table" Target="/xl/tables/table5.xml" Id="R680b3bf6c55a44f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75" hidden="0" customWidth="1"/>
    <x:col min="2" max="2" width="2.75" hidden="0" customWidth="1"/>
    <x:col min="3" max="3" width="2.75" hidden="0" customWidth="1"/>
    <x:col min="4" max="4" width="2.75" hidden="0" customWidth="1"/>
    <x:col min="5" max="5" width="2.75" hidden="0" customWidth="1"/>
    <x:col min="6" max="6" width="2.75" hidden="0" customWidth="1"/>
    <x:col min="7" max="7" width="2.75" hidden="0" customWidth="1"/>
    <x:col min="8" max="8" width="2.75" hidden="0" customWidth="1"/>
    <x:col min="9" max="9" width="2.75" hidden="0" customWidth="1"/>
    <x:col min="10" max="10" width="2.75" hidden="0" customWidth="1"/>
    <x:col min="11" max="11" width="2.75" hidden="0" customWidth="1"/>
    <x:col min="12" max="12" width="2.75" hidden="0" customWidth="1"/>
    <x:col min="13" max="13" width="2.75" hidden="0" customWidth="1"/>
    <x:col min="14" max="14" width="2.75" hidden="0" customWidth="1"/>
    <x:col min="15" max="15" width="2.75" hidden="0" customWidth="1"/>
    <x:col min="16" max="16" width="2.75" hidden="0" customWidth="1"/>
    <x:col min="17" max="17" width="2.75" hidden="0" customWidth="1"/>
    <x:col min="18" max="18" width="2.75" hidden="0" customWidth="1"/>
    <x:col min="19" max="19" width="2.75" hidden="0" customWidth="1"/>
    <x:col min="20" max="20" width="2.75" hidden="0" customWidth="1"/>
    <x:col min="21" max="21" width="2.75" hidden="0" customWidth="1"/>
    <x:col min="22" max="22" width="2.75" hidden="0" customWidth="1"/>
    <x:col min="23" max="23" width="2.75" hidden="0" customWidth="1"/>
    <x:col min="24" max="24" width="2.75" hidden="0" customWidth="1"/>
    <x:col min="25" max="25" width="2.75" hidden="0" customWidth="1"/>
    <x:col min="26" max="26" width="2.75" hidden="0" customWidth="1"/>
    <x:col min="27" max="27" width="2.75" hidden="0" customWidth="1"/>
    <x:col min="28" max="28" width="2.75" hidden="0" customWidth="1"/>
    <x:col min="29" max="29" width="2.75" hidden="0" customWidth="1"/>
    <x:col min="30" max="30" width="2.75" hidden="0" customWidth="1"/>
    <x:col min="31" max="31" width="2.75" hidden="0" customWidth="1"/>
    <x:col min="32" max="32" width="2.75" hidden="0" customWidth="1"/>
    <x:col min="33" max="33" width="2.75" hidden="0" customWidth="1"/>
    <x:col min="34" max="34" width="2.75" hidden="0" customWidth="1"/>
    <x:col min="35" max="35" width="2.75" hidden="0" customWidth="1"/>
    <x:col min="36" max="36" width="2.75" hidden="0" customWidth="1"/>
    <x:col min="37" max="37" width="2.75" hidden="0" customWidth="1"/>
    <x:col min="38" max="38" width="2.75" hidden="0" customWidth="1"/>
    <x:col min="39" max="39" width="2.75" hidden="0" customWidth="1"/>
    <x:col min="40" max="40" width="2.75" hidden="0" customWidth="1"/>
    <x:col min="41" max="41" width="2.75" hidden="0" customWidth="1"/>
    <x:col min="42" max="42" width="2.75" hidden="0" customWidth="1"/>
    <x:col min="43" max="43" width="2.75" hidden="0" customWidth="1"/>
    <x:col min="44" max="44" width="2.75" hidden="0" customWidth="1"/>
    <x:col min="45" max="45" width="2.75" hidden="0" customWidth="1"/>
    <x:col min="46" max="46" width="2.75" hidden="0" customWidth="1"/>
    <x:col min="47" max="47" width="2.75" hidden="0" customWidth="1"/>
    <x:col min="48" max="48" width="2.75" hidden="0" customWidth="1"/>
    <x:col min="49" max="49" width="2.75" hidden="0" customWidth="1"/>
    <x:col min="50" max="50" width="2.75" hidden="0" customWidth="1"/>
    <x:col min="51" max="51" width="2.75" hidden="0" customWidth="1"/>
    <x:col min="52" max="52" width="2.75" hidden="0" customWidth="1"/>
    <x:col min="53" max="53" width="2.75" hidden="0" customWidth="1"/>
    <x:col min="54" max="54" width="2.75" hidden="0" customWidth="1"/>
    <x:col min="55" max="55" width="2.75" hidden="0" customWidth="1"/>
    <x:col min="56" max="56" width="2.75" hidden="0" customWidth="1"/>
    <x:col min="57" max="57" width="2.75" hidden="0" customWidth="1"/>
    <x:col min="58" max="58" width="2.75" hidden="0" customWidth="1"/>
    <x:col min="59" max="59" width="2.75" hidden="0" customWidth="1"/>
    <x:col min="60" max="60" width="2.75" hidden="0" customWidth="1"/>
    <x:col min="61" max="61" width="2.75" hidden="0" customWidth="1"/>
    <x:col min="62" max="62" width="2.75" hidden="0" customWidth="1"/>
    <x:col min="63" max="63" width="2.75" hidden="0" customWidth="1"/>
    <x:col min="64" max="64" width="2.75" hidden="0" customWidth="1"/>
    <x:col min="65" max="65" width="2.75" hidden="0" customWidth="1"/>
    <x:col min="66" max="66" width="2.75" hidden="0" customWidth="1"/>
    <x:col min="67" max="67" width="2.75" hidden="0" customWidth="1"/>
    <x:col min="68" max="68" width="2.75" hidden="0" customWidth="1"/>
    <x:col min="69" max="69" width="2.75" hidden="0" customWidth="1"/>
    <x:col min="70" max="70" width="2.75" hidden="0" customWidth="1"/>
    <x:col min="71" max="71" width="2.75" hidden="0" customWidth="1"/>
  </x:cols>
  <x:sheetData>
    <x:row r="1" ht="13.5" customHeight="1">
      <x:c r="A1" s="114"/>
      <x:c r="B1" s="114"/>
      <x:c r="C1" s="117" t="str">
        <x:v>EXCEL GRAND PRIX</x:v>
      </x:c>
      <x:c r="D1" s="114"/>
      <x:c r="E1" s="114"/>
      <x:c r="F1" s="114"/>
      <x:c r="G1" s="114"/>
      <x:c r="H1" s="114"/>
      <x:c r="I1" s="114"/>
      <x:c r="J1" s="114"/>
      <x:c r="K1" s="114"/>
      <x:c r="L1" s="114"/>
      <x:c r="M1" s="114"/>
      <x:c r="N1" s="114"/>
      <x:c r="O1" s="114"/>
      <x:c r="P1" s="114"/>
      <x:c r="Q1" s="114"/>
      <x:c r="R1" s="114"/>
      <x:c r="S1" s="114"/>
      <x:c r="T1" s="114"/>
      <x:c r="U1" s="114"/>
      <x:c r="V1" s="114"/>
      <x:c r="W1" s="114"/>
      <x:c r="X1" s="114"/>
      <x:c r="Y1" s="114"/>
      <x:c r="Z1" s="114"/>
      <x:c r="AA1" s="114"/>
      <x:c r="AB1" s="114"/>
      <x:c r="AC1" s="114"/>
      <x:c r="AD1" s="114"/>
      <x:c r="AE1" s="114"/>
      <x:c r="AF1" s="114"/>
      <x:c r="AG1" s="114"/>
      <x:c r="AH1" s="114"/>
      <x:c r="AI1" s="114"/>
      <x:c r="AJ1" s="114"/>
      <x:c r="AK1" s="114"/>
      <x:c r="AL1" s="114"/>
      <x:c r="AM1" s="114"/>
      <x:c r="AN1" s="114"/>
      <x:c r="AO1" s="114"/>
      <x:c r="AP1" s="114"/>
      <x:c r="AQ1" s="114"/>
      <x:c r="AR1" s="114"/>
      <x:c r="AS1" s="114"/>
      <x:c r="AT1" s="114"/>
      <x:c r="AU1" s="114"/>
      <x:c r="AV1" s="114"/>
      <x:c r="AW1" s="114"/>
      <x:c r="AX1" s="114"/>
      <x:c r="AY1" s="114"/>
      <x:c r="AZ1" s="114"/>
      <x:c r="BA1" s="114"/>
      <x:c r="BB1" s="114"/>
      <x:c r="BC1" s="114"/>
      <x:c r="BD1" s="114"/>
      <x:c r="BE1" s="114"/>
      <x:c r="BF1" s="114"/>
      <x:c r="BG1" s="114"/>
      <x:c r="BH1" s="114"/>
      <x:c r="BI1" s="114"/>
      <x:c r="BJ1" s="114"/>
      <x:c r="BK1" s="114"/>
      <x:c r="BL1" s="114"/>
      <x:c r="BM1" s="114"/>
      <x:c r="BN1" s="114"/>
      <x:c r="BO1" s="114"/>
      <x:c r="BP1" s="114"/>
      <x:c r="BQ1" s="114"/>
      <x:c r="BR1" s="114"/>
      <x:c r="BS1" s="114"/>
    </x:row>
    <x:row r="2" ht="13.5" customHeight="1">
      <x:c r="A2" s="114"/>
      <x:c r="B2" s="114"/>
      <x:c r="C2" s="114"/>
      <x:c r="D2" s="114"/>
      <x:c r="E2" s="114"/>
      <x:c r="F2" s="114"/>
      <x:c r="G2" s="114"/>
      <x:c r="H2" s="114"/>
      <x:c r="I2" s="114"/>
      <x:c r="J2" s="114"/>
      <x:c r="K2" s="114"/>
      <x:c r="L2" s="114"/>
      <x:c r="M2" s="114"/>
      <x:c r="N2" s="114"/>
      <x:c r="O2" s="114"/>
      <x:c r="P2" s="114"/>
      <x:c r="Q2" s="114"/>
      <x:c r="R2" s="114"/>
      <x:c r="S2" s="114"/>
      <x:c r="T2" s="114"/>
      <x:c r="U2" s="114"/>
      <x:c r="V2" s="114"/>
      <x:c r="W2" s="114"/>
      <x:c r="X2" s="114"/>
      <x:c r="Y2" s="114"/>
      <x:c r="Z2" s="114"/>
      <x:c r="AA2" s="114"/>
      <x:c r="AB2" s="114"/>
      <x:c r="AC2" s="114"/>
      <x:c r="AD2" s="114"/>
      <x:c r="AE2" s="114"/>
      <x:c r="AF2" s="114"/>
      <x:c r="AG2" s="114"/>
      <x:c r="AH2" s="114"/>
      <x:c r="AI2" s="114"/>
      <x:c r="AJ2" s="114"/>
      <x:c r="AK2" s="114"/>
      <x:c r="AL2" s="114"/>
      <x:c r="AM2" s="114"/>
      <x:c r="AN2" s="114"/>
      <x:c r="AO2" s="114"/>
      <x:c r="AP2" s="114"/>
      <x:c r="AQ2" s="114"/>
      <x:c r="AR2" s="114"/>
      <x:c r="AS2" s="114"/>
      <x:c r="AT2" s="114"/>
      <x:c r="AU2" s="114"/>
      <x:c r="AV2" s="114"/>
      <x:c r="AW2" s="114"/>
      <x:c r="AX2" s="114"/>
      <x:c r="AY2" s="114"/>
      <x:c r="AZ2" s="114"/>
      <x:c r="BA2" s="114"/>
      <x:c r="BB2" s="114"/>
      <x:c r="BC2" s="114"/>
      <x:c r="BD2" s="114"/>
      <x:c r="BE2" s="114"/>
      <x:c r="BF2" s="114"/>
      <x:c r="BG2" s="114"/>
      <x:c r="BH2" s="114"/>
      <x:c r="BI2" s="125" t="str">
        <x:v>NATIVE XLSX</x:v>
      </x:c>
      <x:c r="BJ2" s="125"/>
      <x:c r="BK2" s="125"/>
      <x:c r="BL2" s="125"/>
      <x:c r="BM2" s="125"/>
      <x:c r="BN2" s="125"/>
      <x:c r="BO2" s="125"/>
      <x:c r="BP2" s="125"/>
      <x:c r="BQ2" s="125"/>
      <x:c r="BR2" s="114"/>
      <x:c r="BS2" s="114"/>
    </x:row>
    <x:row r="3" ht="13.5" customHeight="1">
      <x:c r="A3" s="114"/>
      <x:c r="B3" s="114"/>
      <x:c r="C3" s="121" t="str">
        <x:v>单元格赛道  /  公式驱动  /  LAS VEGAS CELL CIRCUIT</x:v>
      </x:c>
      <x:c r="D3" s="114"/>
      <x:c r="E3" s="114"/>
      <x:c r="F3" s="114"/>
      <x:c r="G3" s="114"/>
      <x:c r="H3" s="114"/>
      <x:c r="I3" s="114"/>
      <x:c r="J3" s="114"/>
      <x:c r="K3" s="114"/>
      <x:c r="L3" s="114"/>
      <x:c r="M3" s="114"/>
      <x:c r="N3" s="114"/>
      <x:c r="O3" s="114"/>
      <x:c r="P3" s="114"/>
      <x:c r="Q3" s="114"/>
      <x:c r="R3" s="114"/>
      <x:c r="S3" s="114"/>
      <x:c r="T3" s="114"/>
      <x:c r="U3" s="114"/>
      <x:c r="V3" s="114"/>
      <x:c r="W3" s="114"/>
      <x:c r="X3" s="114"/>
      <x:c r="Y3" s="114"/>
      <x:c r="Z3" s="114"/>
      <x:c r="AA3" s="114"/>
      <x:c r="AB3" s="114"/>
      <x:c r="AC3" s="114"/>
      <x:c r="AD3" s="114"/>
      <x:c r="AE3" s="114"/>
      <x:c r="AF3" s="114"/>
      <x:c r="AG3" s="114"/>
      <x:c r="AH3" s="114"/>
      <x:c r="AI3" s="114"/>
      <x:c r="AJ3" s="114"/>
      <x:c r="AK3" s="114"/>
      <x:c r="AL3" s="114"/>
      <x:c r="AM3" s="114"/>
      <x:c r="AN3" s="114"/>
      <x:c r="AO3" s="114"/>
      <x:c r="AP3" s="114"/>
      <x:c r="AQ3" s="114"/>
      <x:c r="AR3" s="114"/>
      <x:c r="AS3" s="114"/>
      <x:c r="AT3" s="114"/>
      <x:c r="AU3" s="114"/>
      <x:c r="AV3" s="114"/>
      <x:c r="AW3" s="114"/>
      <x:c r="AX3" s="114"/>
      <x:c r="AY3" s="114"/>
      <x:c r="AZ3" s="114"/>
      <x:c r="BA3" s="114"/>
      <x:c r="BB3" s="114"/>
      <x:c r="BC3" s="114"/>
      <x:c r="BD3" s="114"/>
      <x:c r="BE3" s="114"/>
      <x:c r="BF3" s="114"/>
      <x:c r="BG3" s="114"/>
      <x:c r="BH3" s="114"/>
      <x:c r="BI3" s="125"/>
      <x:c r="BJ3" s="125"/>
      <x:c r="BK3" s="125"/>
      <x:c r="BL3" s="125"/>
      <x:c r="BM3" s="125"/>
      <x:c r="BN3" s="125"/>
      <x:c r="BO3" s="125"/>
      <x:c r="BP3" s="125"/>
      <x:c r="BQ3" s="125"/>
      <x:c r="BR3" s="114"/>
      <x:c r="BS3" s="114"/>
    </x:row>
    <x:row r="4" ht="13.5" customHeight="1">
      <x:c r="A4" s="114"/>
      <x:c r="B4" s="114"/>
      <x:c r="C4" s="114"/>
      <x:c r="D4" s="114"/>
      <x:c r="E4" s="114"/>
      <x:c r="F4" s="114"/>
      <x:c r="G4" s="114"/>
      <x:c r="H4" s="114"/>
      <x:c r="I4" s="114"/>
      <x:c r="J4" s="114"/>
      <x:c r="K4" s="114"/>
      <x:c r="L4" s="114"/>
      <x:c r="M4" s="114"/>
      <x:c r="N4" s="114"/>
      <x:c r="O4" s="114"/>
      <x:c r="P4" s="114"/>
      <x:c r="Q4" s="114"/>
      <x:c r="R4" s="114"/>
      <x:c r="S4" s="114"/>
      <x:c r="T4" s="114"/>
      <x:c r="U4" s="114"/>
      <x:c r="V4" s="114"/>
      <x:c r="W4" s="114"/>
      <x:c r="X4" s="114"/>
      <x:c r="Y4" s="114"/>
      <x:c r="Z4" s="114"/>
      <x:c r="AA4" s="114"/>
      <x:c r="AB4" s="114"/>
      <x:c r="AC4" s="114"/>
      <x:c r="AD4" s="114"/>
      <x:c r="AE4" s="114"/>
      <x:c r="AF4" s="114"/>
      <x:c r="AG4" s="114"/>
      <x:c r="AH4" s="114"/>
      <x:c r="AI4" s="114"/>
      <x:c r="AJ4" s="114"/>
      <x:c r="AK4" s="114"/>
      <x:c r="AL4" s="114"/>
      <x:c r="AM4" s="114"/>
      <x:c r="AN4" s="114"/>
      <x:c r="AO4" s="114"/>
      <x:c r="AP4" s="114"/>
      <x:c r="AQ4" s="114"/>
      <x:c r="AR4" s="114"/>
      <x:c r="AS4" s="114"/>
      <x:c r="AT4" s="114"/>
      <x:c r="AU4" s="114"/>
      <x:c r="AV4" s="114"/>
      <x:c r="AW4" s="114"/>
      <x:c r="AX4" s="114"/>
      <x:c r="AY4" s="114"/>
      <x:c r="AZ4" s="114"/>
      <x:c r="BA4" s="114"/>
      <x:c r="BB4" s="114"/>
      <x:c r="BC4" s="114"/>
      <x:c r="BD4" s="114"/>
      <x:c r="BE4" s="114"/>
      <x:c r="BF4" s="114"/>
      <x:c r="BG4" s="114"/>
      <x:c r="BH4" s="114"/>
      <x:c r="BI4" s="114"/>
      <x:c r="BJ4" s="114"/>
      <x:c r="BK4" s="114"/>
      <x:c r="BL4" s="114"/>
      <x:c r="BM4" s="114"/>
      <x:c r="BN4" s="114"/>
      <x:c r="BO4" s="114"/>
      <x:c r="BP4" s="114"/>
      <x:c r="BQ4" s="114"/>
      <x:c r="BR4" s="114"/>
      <x:c r="BS4" s="114"/>
    </x:row>
    <x:row r="5" ht="13.5" customHeight="1">
      <x:c r="A5" s="109"/>
      <x:c r="B5" s="109"/>
      <x:c r="C5" s="109"/>
      <x:c r="D5" s="109"/>
      <x:c r="E5" s="109"/>
      <x:c r="F5" s="109"/>
      <x:c r="G5" s="109"/>
      <x:c r="H5" s="109"/>
      <x:c r="I5" s="109"/>
      <x:c r="J5" s="109"/>
      <x:c r="K5" s="109"/>
      <x:c r="L5" s="109"/>
      <x:c r="M5" s="109"/>
      <x:c r="N5" s="109"/>
      <x:c r="O5" s="109"/>
      <x:c r="P5" s="109"/>
      <x:c r="Q5" s="109"/>
      <x:c r="R5" s="109"/>
      <x:c r="S5" s="109"/>
      <x:c r="T5" s="109"/>
      <x:c r="U5" s="109"/>
      <x:c r="V5" s="109"/>
      <x:c r="W5" s="109"/>
      <x:c r="X5" s="109"/>
      <x:c r="Y5" s="109"/>
      <x:c r="Z5" s="109"/>
      <x:c r="AA5" s="109"/>
      <x:c r="AB5" s="109"/>
      <x:c r="AC5" s="109"/>
      <x:c r="AD5" s="109"/>
      <x:c r="AE5" s="109"/>
      <x:c r="AF5" s="109"/>
      <x:c r="AG5" s="109"/>
      <x:c r="AH5" s="109"/>
      <x:c r="AI5" s="109"/>
      <x:c r="AJ5" s="109"/>
      <x:c r="AK5" s="109"/>
      <x:c r="AL5" s="109"/>
      <x:c r="AM5" s="109"/>
      <x:c r="AN5" s="109"/>
      <x:c r="AO5" s="109"/>
      <x:c r="AP5" s="109"/>
      <x:c r="AQ5" s="109"/>
      <x:c r="AR5" s="109"/>
      <x:c r="AS5" s="109"/>
      <x:c r="AT5" s="109"/>
      <x:c r="AU5" s="109"/>
      <x:c r="AV5" s="109"/>
      <x:c r="AW5" s="109"/>
      <x:c r="AX5" s="109"/>
      <x:c r="AY5" s="109"/>
      <x:c r="AZ5" s="109"/>
      <x:c r="BA5" s="109"/>
      <x:c r="BB5" s="109"/>
      <x:c r="BC5" s="109"/>
      <x:c r="BD5" s="109"/>
      <x:c r="BE5" s="109"/>
      <x:c r="BF5" s="109"/>
      <x:c r="BG5" s="109"/>
      <x:c r="BH5" s="109"/>
      <x:c r="BI5" s="109"/>
      <x:c r="BJ5" s="109"/>
      <x:c r="BK5" s="109"/>
      <x:c r="BL5" s="109"/>
      <x:c r="BM5" s="109"/>
      <x:c r="BN5" s="109"/>
      <x:c r="BO5" s="109"/>
      <x:c r="BP5" s="109"/>
      <x:c r="BQ5" s="109"/>
      <x:c r="BR5" s="109"/>
      <x:c r="BS5" s="109"/>
    </x:row>
    <x:row r="6" ht="13.5" customHeight="1">
      <x:c r="A6" s="130"/>
      <x:c r="B6" s="130"/>
      <x:c r="C6" s="130"/>
      <x:c r="D6" s="130"/>
      <x:c r="E6" s="130"/>
      <x:c r="F6" s="130"/>
      <x:c r="G6" s="130"/>
      <x:c r="H6" s="130"/>
      <x:c r="I6" s="130"/>
      <x:c r="J6" s="130"/>
      <x:c r="K6" s="130"/>
      <x:c r="L6" s="130"/>
      <x:c r="M6" s="130"/>
      <x:c r="N6" s="130"/>
      <x:c r="O6" s="130"/>
      <x:c r="P6" s="130"/>
      <x:c r="Q6" s="130"/>
      <x:c r="R6" s="130"/>
      <x:c r="S6" s="130"/>
      <x:c r="T6" s="130"/>
      <x:c r="U6" s="130"/>
      <x:c r="V6" s="130"/>
      <x:c r="W6" s="130"/>
      <x:c r="X6" s="130"/>
      <x:c r="Y6" s="130"/>
      <x:c r="Z6" s="130"/>
      <x:c r="AA6" s="130"/>
      <x:c r="AB6" s="130"/>
      <x:c r="AC6" s="130"/>
      <x:c r="AD6" s="130"/>
      <x:c r="AE6" s="130"/>
      <x:c r="AF6" s="130"/>
      <x:c r="AG6" s="130"/>
      <x:c r="AH6" s="130"/>
      <x:c r="AI6" s="130"/>
      <x:c r="AJ6" s="130"/>
      <x:c r="AK6" s="130"/>
      <x:c r="AL6" s="130"/>
      <x:c r="AM6" s="130"/>
      <x:c r="AN6" s="130"/>
      <x:c r="AO6" s="130"/>
      <x:c r="AP6" s="130"/>
      <x:c r="AQ6" s="130"/>
      <x:c r="AR6" s="130"/>
      <x:c r="AS6" s="130"/>
      <x:c r="AT6" s="130"/>
      <x:c r="AU6" s="130"/>
      <x:c r="AV6" s="130"/>
      <x:c r="AW6" s="130"/>
      <x:c r="AX6" s="130"/>
      <x:c r="AY6" s="130"/>
      <x:c r="AZ6" s="130"/>
      <x:c r="BA6" s="130"/>
      <x:c r="BB6" s="130"/>
      <x:c r="BC6" s="130"/>
      <x:c r="BD6" s="109"/>
      <x:c r="BE6" s="272" t="str">
        <x:v>RACE CONTROL  /  比赛控制</x:v>
      </x:c>
      <x:c r="BF6" s="273"/>
      <x:c r="BG6" s="273"/>
      <x:c r="BH6" s="273"/>
      <x:c r="BI6" s="273"/>
      <x:c r="BJ6" s="273"/>
      <x:c r="BK6" s="273"/>
      <x:c r="BL6" s="273"/>
      <x:c r="BM6" s="273"/>
      <x:c r="BN6" s="273"/>
      <x:c r="BO6" s="273"/>
      <x:c r="BP6" s="273"/>
      <x:c r="BQ6" s="273"/>
      <x:c r="BR6" s="273"/>
      <x:c r="BS6" s="274"/>
    </x:row>
    <x:row r="7" ht="13.5" customHeight="1">
      <x:c r="A7" s="130"/>
      <x:c r="B7" s="130"/>
      <x:c r="C7" s="130"/>
      <x:c r="D7" s="130"/>
      <x:c r="E7" s="130"/>
      <x:c r="F7" s="130"/>
      <x:c r="G7" s="130"/>
      <x:c r="H7" s="130"/>
      <x:c r="I7" s="148"/>
      <x:c r="J7" s="141"/>
      <x:c r="K7" s="142"/>
      <x:c r="L7" s="141"/>
      <x:c r="M7" s="142"/>
      <x:c r="N7" s="141"/>
      <x:c r="O7" s="142"/>
      <x:c r="P7" s="141"/>
      <x:c r="Q7" s="142"/>
      <x:c r="R7" s="141"/>
      <x:c r="S7" s="142"/>
      <x:c r="T7" s="141"/>
      <x:c r="U7" s="148"/>
      <x:c r="V7" s="204" t="str">
        <x:v>SPREADSHEET MOTORSPORT</x:v>
      </x:c>
      <x:c r="W7" s="204"/>
      <x:c r="X7" s="204"/>
      <x:c r="Y7" s="204"/>
      <x:c r="Z7" s="204"/>
      <x:c r="AA7" s="204"/>
      <x:c r="AB7" s="204"/>
      <x:c r="AC7" s="204"/>
      <x:c r="AD7" s="204"/>
      <x:c r="AE7" s="204"/>
      <x:c r="AF7" s="204"/>
      <x:c r="AG7" s="204"/>
      <x:c r="AH7" s="204"/>
      <x:c r="AI7" s="204"/>
      <x:c r="AJ7" s="204"/>
      <x:c r="AK7" s="204"/>
      <x:c r="AL7" s="204"/>
      <x:c r="AM7" s="204"/>
      <x:c r="AN7" s="204"/>
      <x:c r="AO7" s="204"/>
      <x:c r="AP7" s="204"/>
      <x:c r="AQ7" s="204"/>
      <x:c r="AR7" s="156"/>
      <x:c r="AS7" s="142"/>
      <x:c r="AT7" s="141"/>
      <x:c r="AU7" s="142"/>
      <x:c r="AV7" s="141"/>
      <x:c r="AW7" s="142"/>
      <x:c r="AX7" s="141"/>
      <x:c r="AY7" s="142"/>
      <x:c r="AZ7" s="141"/>
      <x:c r="BA7" s="148"/>
      <x:c r="BB7" s="130"/>
      <x:c r="BC7" s="130"/>
      <x:c r="BD7" s="109"/>
      <x:c r="BE7" s="275"/>
      <x:c r="BF7" s="276"/>
      <x:c r="BG7" s="276"/>
      <x:c r="BH7" s="276"/>
      <x:c r="BI7" s="276"/>
      <x:c r="BJ7" s="276"/>
      <x:c r="BK7" s="276"/>
      <x:c r="BL7" s="276"/>
      <x:c r="BM7" s="276"/>
      <x:c r="BN7" s="276"/>
      <x:c r="BO7" s="276"/>
      <x:c r="BP7" s="276"/>
      <x:c r="BQ7" s="276"/>
      <x:c r="BR7" s="276"/>
      <x:c r="BS7" s="277"/>
    </x:row>
    <x:row r="8" ht="13.5" customHeight="1">
      <x:c r="A8" s="130"/>
      <x:c r="B8" s="130"/>
      <x:c r="C8" s="130"/>
      <x:c r="D8" s="130"/>
      <x:c r="E8" s="130"/>
      <x:c r="F8" s="130"/>
      <x:c r="G8" s="130"/>
      <x:c r="H8" s="130"/>
      <x:c r="I8" s="149"/>
      <x:c r="J8" s="134"/>
      <x:c r="K8" s="168" t="str">
        <x:v>┄</x:v>
      </x:c>
      <x:c r="L8" s="408" t="str">
        <x:f>IF(COUNTIF($BF$50:$BF$55,812)=0,"┄",IF(COUNTIF($BF$50:$BF$55,812)&gt;1,IF($BF$50=812,$BE$50,"")&amp;IF($BF$51=812,$BE$51,"")&amp;IF($BF$52=812,$BE$52,"")&amp;IF($BF$53=812,$BE$53,"")&amp;IF($BF$54=812,$BE$54,"")&amp;IF($BF$55=812,$BE$55,""),IF($BF$50=812,$BG$50,"")&amp;IF($BF$51=812,$BG$51,"")&amp;IF($BF$52=812,$BG$52,"")&amp;IF($BF$53=812,$BG$53,"")&amp;IF($BF$54=812,$BG$54,"")&amp;IF($BF$55=812,$BG$55,"")))</x:f>
        <x:v>┄</x:v>
      </x:c>
      <x:c r="M8" s="408" t="str">
        <x:f>IF(COUNTIF($BF$50:$BF$55,813)=0,"┄",IF(COUNTIF($BF$50:$BF$55,813)&gt;1,IF($BF$50=813,$BE$50,"")&amp;IF($BF$51=813,$BE$51,"")&amp;IF($BF$52=813,$BE$52,"")&amp;IF($BF$53=813,$BE$53,"")&amp;IF($BF$54=813,$BE$54,"")&amp;IF($BF$55=813,$BE$55,""),IF($BF$50=813,$BG$50,"")&amp;IF($BF$51=813,$BG$51,"")&amp;IF($BF$52=813,$BG$52,"")&amp;IF($BF$53=813,$BG$53,"")&amp;IF($BF$54=813,$BG$54,"")&amp;IF($BF$55=813,$BG$55,"")))</x:f>
        <x:v>┄</x:v>
      </x:c>
      <x:c r="N8" s="408" t="str">
        <x:f>IF(COUNTIF($BF$50:$BF$55,814)=0,"┄",IF(COUNTIF($BF$50:$BF$55,814)&gt;1,IF($BF$50=814,$BE$50,"")&amp;IF($BF$51=814,$BE$51,"")&amp;IF($BF$52=814,$BE$52,"")&amp;IF($BF$53=814,$BE$53,"")&amp;IF($BF$54=814,$BE$54,"")&amp;IF($BF$55=814,$BE$55,""),IF($BF$50=814,$BG$50,"")&amp;IF($BF$51=814,$BG$51,"")&amp;IF($BF$52=814,$BG$52,"")&amp;IF($BF$53=814,$BG$53,"")&amp;IF($BF$54=814,$BG$54,"")&amp;IF($BF$55=814,$BG$55,"")))</x:f>
        <x:v>┄</x:v>
      </x:c>
      <x:c r="O8" s="408" t="str">
        <x:f>IF(COUNTIF($BF$50:$BF$55,815)=0,"┄",IF(COUNTIF($BF$50:$BF$55,815)&gt;1,IF($BF$50=815,$BE$50,"")&amp;IF($BF$51=815,$BE$51,"")&amp;IF($BF$52=815,$BE$52,"")&amp;IF($BF$53=815,$BE$53,"")&amp;IF($BF$54=815,$BE$54,"")&amp;IF($BF$55=815,$BE$55,""),IF($BF$50=815,$BG$50,"")&amp;IF($BF$51=815,$BG$51,"")&amp;IF($BF$52=815,$BG$52,"")&amp;IF($BF$53=815,$BG$53,"")&amp;IF($BF$54=815,$BG$54,"")&amp;IF($BF$55=815,$BG$55,"")))</x:f>
        <x:v>┄</x:v>
      </x:c>
      <x:c r="P8" s="408" t="str">
        <x:f>IF(COUNTIF($BF$50:$BF$55,816)=0,"┄",IF(COUNTIF($BF$50:$BF$55,816)&gt;1,IF($BF$50=816,$BE$50,"")&amp;IF($BF$51=816,$BE$51,"")&amp;IF($BF$52=816,$BE$52,"")&amp;IF($BF$53=816,$BE$53,"")&amp;IF($BF$54=816,$BE$54,"")&amp;IF($BF$55=816,$BE$55,""),IF($BF$50=816,$BG$50,"")&amp;IF($BF$51=816,$BG$51,"")&amp;IF($BF$52=816,$BG$52,"")&amp;IF($BF$53=816,$BG$53,"")&amp;IF($BF$54=816,$BG$54,"")&amp;IF($BF$55=816,$BG$55,"")))</x:f>
        <x:v>┄</x:v>
      </x:c>
      <x:c r="Q8" s="408" t="str">
        <x:f>IF(COUNTIF($BF$50:$BF$55,817)=0,"┄",IF(COUNTIF($BF$50:$BF$55,817)&gt;1,IF($BF$50=817,$BE$50,"")&amp;IF($BF$51=817,$BE$51,"")&amp;IF($BF$52=817,$BE$52,"")&amp;IF($BF$53=817,$BE$53,"")&amp;IF($BF$54=817,$BE$54,"")&amp;IF($BF$55=817,$BE$55,""),IF($BF$50=817,$BG$50,"")&amp;IF($BF$51=817,$BG$51,"")&amp;IF($BF$52=817,$BG$52,"")&amp;IF($BF$53=817,$BG$53,"")&amp;IF($BF$54=817,$BG$54,"")&amp;IF($BF$55=817,$BG$55,"")))</x:f>
        <x:v>┄</x:v>
      </x:c>
      <x:c r="R8" s="408" t="str">
        <x:f>IF(COUNTIF($BF$50:$BF$55,818)=0,"┄",IF(COUNTIF($BF$50:$BF$55,818)&gt;1,IF($BF$50=818,$BE$50,"")&amp;IF($BF$51=818,$BE$51,"")&amp;IF($BF$52=818,$BE$52,"")&amp;IF($BF$53=818,$BE$53,"")&amp;IF($BF$54=818,$BE$54,"")&amp;IF($BF$55=818,$BE$55,""),IF($BF$50=818,$BG$50,"")&amp;IF($BF$51=818,$BG$51,"")&amp;IF($BF$52=818,$BG$52,"")&amp;IF($BF$53=818,$BG$53,"")&amp;IF($BF$54=818,$BG$54,"")&amp;IF($BF$55=818,$BG$55,"")))</x:f>
        <x:v>┄</x:v>
      </x:c>
      <x:c r="S8" s="168" t="str">
        <x:v>┄</x:v>
      </x:c>
      <x:c r="T8" s="134"/>
      <x:c r="U8" s="149"/>
      <x:c r="V8" s="130"/>
      <x:c r="W8" s="206" t="str">
        <x:v>EXCEL</x:v>
      </x:c>
      <x:c r="X8" s="206"/>
      <x:c r="Y8" s="206"/>
      <x:c r="Z8" s="206"/>
      <x:c r="AA8" s="206"/>
      <x:c r="AB8" s="206"/>
      <x:c r="AC8" s="206"/>
      <x:c r="AD8" s="206"/>
      <x:c r="AE8" s="206"/>
      <x:c r="AF8" s="206"/>
      <x:c r="AG8" s="206"/>
      <x:c r="AH8" s="206"/>
      <x:c r="AI8" s="206"/>
      <x:c r="AJ8" s="206"/>
      <x:c r="AK8" s="206"/>
      <x:c r="AL8" s="206"/>
      <x:c r="AM8" s="206"/>
      <x:c r="AN8" s="206"/>
      <x:c r="AO8" s="206"/>
      <x:c r="AP8" s="206"/>
      <x:c r="AQ8" s="130"/>
      <x:c r="AR8" s="150"/>
      <x:c r="AS8" s="134"/>
      <x:c r="AT8" s="408" t="str">
        <x:f>IF(COUNTIF($BF$50:$BF$55,846)=0,"┄",IF(COUNTIF($BF$50:$BF$55,846)&gt;1,IF($BF$50=846,$BE$50,"")&amp;IF($BF$51=846,$BE$51,"")&amp;IF($BF$52=846,$BE$52,"")&amp;IF($BF$53=846,$BE$53,"")&amp;IF($BF$54=846,$BE$54,"")&amp;IF($BF$55=846,$BE$55,""),IF($BF$50=846,$BG$50,"")&amp;IF($BF$51=846,$BG$51,"")&amp;IF($BF$52=846,$BG$52,"")&amp;IF($BF$53=846,$BG$53,"")&amp;IF($BF$54=846,$BG$54,"")&amp;IF($BF$55=846,$BG$55,"")))</x:f>
        <x:v>┄</x:v>
      </x:c>
      <x:c r="AU8" s="408" t="str">
        <x:f>IF(COUNTIF($BF$50:$BF$55,847)=0,"┄",IF(COUNTIF($BF$50:$BF$55,847)&gt;1,IF($BF$50=847,$BE$50,"")&amp;IF($BF$51=847,$BE$51,"")&amp;IF($BF$52=847,$BE$52,"")&amp;IF($BF$53=847,$BE$53,"")&amp;IF($BF$54=847,$BE$54,"")&amp;IF($BF$55=847,$BE$55,""),IF($BF$50=847,$BG$50,"")&amp;IF($BF$51=847,$BG$51,"")&amp;IF($BF$52=847,$BG$52,"")&amp;IF($BF$53=847,$BG$53,"")&amp;IF($BF$54=847,$BG$54,"")&amp;IF($BF$55=847,$BG$55,"")))</x:f>
        <x:v>┄</x:v>
      </x:c>
      <x:c r="AV8" s="408" t="str">
        <x:f>IF(COUNTIF($BF$50:$BF$55,848)=0,"┄",IF(COUNTIF($BF$50:$BF$55,848)&gt;1,IF($BF$50=848,$BE$50,"")&amp;IF($BF$51=848,$BE$51,"")&amp;IF($BF$52=848,$BE$52,"")&amp;IF($BF$53=848,$BE$53,"")&amp;IF($BF$54=848,$BE$54,"")&amp;IF($BF$55=848,$BE$55,""),IF($BF$50=848,$BG$50,"")&amp;IF($BF$51=848,$BG$51,"")&amp;IF($BF$52=848,$BG$52,"")&amp;IF($BF$53=848,$BG$53,"")&amp;IF($BF$54=848,$BG$54,"")&amp;IF($BF$55=848,$BG$55,"")))</x:f>
        <x:v>┄</x:v>
      </x:c>
      <x:c r="AW8" s="408" t="str">
        <x:f>IF(COUNTIF($BF$50:$BF$55,849)=0,"┄",IF(COUNTIF($BF$50:$BF$55,849)&gt;1,IF($BF$50=849,$BE$50,"")&amp;IF($BF$51=849,$BE$51,"")&amp;IF($BF$52=849,$BE$52,"")&amp;IF($BF$53=849,$BE$53,"")&amp;IF($BF$54=849,$BE$54,"")&amp;IF($BF$55=849,$BE$55,""),IF($BF$50=849,$BG$50,"")&amp;IF($BF$51=849,$BG$51,"")&amp;IF($BF$52=849,$BG$52,"")&amp;IF($BF$53=849,$BG$53,"")&amp;IF($BF$54=849,$BG$54,"")&amp;IF($BF$55=849,$BG$55,"")))</x:f>
        <x:v>┄</x:v>
      </x:c>
      <x:c r="AX8" s="168" t="str">
        <x:v>┄</x:v>
      </x:c>
      <x:c r="AY8" s="134"/>
      <x:c r="AZ8" s="134"/>
      <x:c r="BA8" s="149"/>
      <x:c r="BB8" s="130"/>
      <x:c r="BC8" s="130"/>
      <x:c r="BD8" s="109"/>
      <x:c r="BE8" s="253"/>
      <x:c r="BF8" s="248"/>
      <x:c r="BG8" s="248"/>
      <x:c r="BH8" s="248"/>
      <x:c r="BI8" s="248"/>
      <x:c r="BJ8" s="248"/>
      <x:c r="BK8" s="248"/>
      <x:c r="BL8" s="248"/>
      <x:c r="BM8" s="248"/>
      <x:c r="BN8" s="248"/>
      <x:c r="BO8" s="248"/>
      <x:c r="BP8" s="248"/>
      <x:c r="BQ8" s="248"/>
      <x:c r="BR8" s="248"/>
      <x:c r="BS8" s="254"/>
    </x:row>
    <x:row r="9" ht="13.5" customHeight="1">
      <x:c r="A9" s="130"/>
      <x:c r="B9" s="130"/>
      <x:c r="C9" s="130"/>
      <x:c r="D9" s="130"/>
      <x:c r="E9" s="130"/>
      <x:c r="F9" s="130"/>
      <x:c r="G9" s="130"/>
      <x:c r="H9" s="130"/>
      <x:c r="I9" s="150"/>
      <x:c r="J9" s="168" t="str">
        <x:v>┆</x:v>
      </x:c>
      <x:c r="K9" s="134"/>
      <x:c r="L9" s="406" t="str">
        <x:f>IF(COUNTIF($BF$50:$BF$55,912)=0,"36",IF(COUNTIF($BF$50:$BF$55,912)&gt;1,IF($BF$50=912,$BE$50,"")&amp;IF($BF$51=912,$BE$51,"")&amp;IF($BF$52=912,$BE$52,"")&amp;IF($BF$53=912,$BE$53,"")&amp;IF($BF$54=912,$BE$54,"")&amp;IF($BF$55=912,$BE$55,""),IF($BF$50=912,$BG$50,"")&amp;IF($BF$51=912,$BG$51,"")&amp;IF($BF$52=912,$BG$52,"")&amp;IF($BF$53=912,$BG$53,"")&amp;IF($BF$54=912,$BG$54,"")&amp;IF($BF$55=912,$BG$55,"")))</x:f>
        <x:v>36</x:v>
      </x:c>
      <x:c r="M9" s="406" t="str">
        <x:f>IF(COUNTIF($BF$50:$BF$55,913)=0,"37",IF(COUNTIF($BF$50:$BF$55,913)&gt;1,IF($BF$50=913,$BE$50,"")&amp;IF($BF$51=913,$BE$51,"")&amp;IF($BF$52=913,$BE$52,"")&amp;IF($BF$53=913,$BE$53,"")&amp;IF($BF$54=913,$BE$54,"")&amp;IF($BF$55=913,$BE$55,""),IF($BF$50=913,$BG$50,"")&amp;IF($BF$51=913,$BG$51,"")&amp;IF($BF$52=913,$BG$52,"")&amp;IF($BF$53=913,$BG$53,"")&amp;IF($BF$54=913,$BG$54,"")&amp;IF($BF$55=913,$BG$55,"")))</x:f>
        <x:v>37</x:v>
      </x:c>
      <x:c r="N9" s="406" t="str">
        <x:f>IF(COUNTIF($BF$50:$BF$55,914)=0,"38",IF(COUNTIF($BF$50:$BF$55,914)&gt;1,IF($BF$50=914,$BE$50,"")&amp;IF($BF$51=914,$BE$51,"")&amp;IF($BF$52=914,$BE$52,"")&amp;IF($BF$53=914,$BE$53,"")&amp;IF($BF$54=914,$BE$54,"")&amp;IF($BF$55=914,$BE$55,""),IF($BF$50=914,$BG$50,"")&amp;IF($BF$51=914,$BG$51,"")&amp;IF($BF$52=914,$BG$52,"")&amp;IF($BF$53=914,$BG$53,"")&amp;IF($BF$54=914,$BG$54,"")&amp;IF($BF$55=914,$BG$55,"")))</x:f>
        <x:v>38</x:v>
      </x:c>
      <x:c r="O9" s="406" t="str">
        <x:f>IF(COUNTIF($BF$50:$BF$55,915)=0,"39",IF(COUNTIF($BF$50:$BF$55,915)&gt;1,IF($BF$50=915,$BE$50,"")&amp;IF($BF$51=915,$BE$51,"")&amp;IF($BF$52=915,$BE$52,"")&amp;IF($BF$53=915,$BE$53,"")&amp;IF($BF$54=915,$BE$54,"")&amp;IF($BF$55=915,$BE$55,""),IF($BF$50=915,$BG$50,"")&amp;IF($BF$51=915,$BG$51,"")&amp;IF($BF$52=915,$BG$52,"")&amp;IF($BF$53=915,$BG$53,"")&amp;IF($BF$54=915,$BG$54,"")&amp;IF($BF$55=915,$BG$55,"")))</x:f>
        <x:v>39</x:v>
      </x:c>
      <x:c r="P9" s="406" t="str">
        <x:f>IF(COUNTIF($BF$50:$BF$55,916)=0,"40",IF(COUNTIF($BF$50:$BF$55,916)&gt;1,IF($BF$50=916,$BE$50,"")&amp;IF($BF$51=916,$BE$51,"")&amp;IF($BF$52=916,$BE$52,"")&amp;IF($BF$53=916,$BE$53,"")&amp;IF($BF$54=916,$BE$54,"")&amp;IF($BF$55=916,$BE$55,""),IF($BF$50=916,$BG$50,"")&amp;IF($BF$51=916,$BG$51,"")&amp;IF($BF$52=916,$BG$52,"")&amp;IF($BF$53=916,$BG$53,"")&amp;IF($BF$54=916,$BG$54,"")&amp;IF($BF$55=916,$BG$55,"")))</x:f>
        <x:v>40</x:v>
      </x:c>
      <x:c r="Q9" s="406" t="str">
        <x:f>IF(COUNTIF($BF$50:$BF$55,917)=0,"41",IF(COUNTIF($BF$50:$BF$55,917)&gt;1,IF($BF$50=917,$BE$50,"")&amp;IF($BF$51=917,$BE$51,"")&amp;IF($BF$52=917,$BE$52,"")&amp;IF($BF$53=917,$BE$53,"")&amp;IF($BF$54=917,$BE$54,"")&amp;IF($BF$55=917,$BE$55,""),IF($BF$50=917,$BG$50,"")&amp;IF($BF$51=917,$BG$51,"")&amp;IF($BF$52=917,$BG$52,"")&amp;IF($BF$53=917,$BG$53,"")&amp;IF($BF$54=917,$BG$54,"")&amp;IF($BF$55=917,$BG$55,"")))</x:f>
        <x:v>41</x:v>
      </x:c>
      <x:c r="R9" s="406" t="str">
        <x:f>IF(COUNTIF($BF$50:$BF$55,918)=0,"42",IF(COUNTIF($BF$50:$BF$55,918)&gt;1,IF($BF$50=918,$BE$50,"")&amp;IF($BF$51=918,$BE$51,"")&amp;IF($BF$52=918,$BE$52,"")&amp;IF($BF$53=918,$BE$53,"")&amp;IF($BF$54=918,$BE$54,"")&amp;IF($BF$55=918,$BE$55,""),IF($BF$50=918,$BG$50,"")&amp;IF($BF$51=918,$BG$51,"")&amp;IF($BF$52=918,$BG$52,"")&amp;IF($BF$53=918,$BG$53,"")&amp;IF($BF$54=918,$BG$54,"")&amp;IF($BF$55=918,$BG$55,"")))</x:f>
        <x:v>42</x:v>
      </x:c>
      <x:c r="S9" s="134"/>
      <x:c r="T9" s="134"/>
      <x:c r="U9" s="150"/>
      <x:c r="V9" s="130"/>
      <x:c r="W9" s="206"/>
      <x:c r="X9" s="206"/>
      <x:c r="Y9" s="206"/>
      <x:c r="Z9" s="206"/>
      <x:c r="AA9" s="206"/>
      <x:c r="AB9" s="206"/>
      <x:c r="AC9" s="206"/>
      <x:c r="AD9" s="206"/>
      <x:c r="AE9" s="206"/>
      <x:c r="AF9" s="206"/>
      <x:c r="AG9" s="206"/>
      <x:c r="AH9" s="206"/>
      <x:c r="AI9" s="206"/>
      <x:c r="AJ9" s="206"/>
      <x:c r="AK9" s="206"/>
      <x:c r="AL9" s="206"/>
      <x:c r="AM9" s="206"/>
      <x:c r="AN9" s="206"/>
      <x:c r="AO9" s="206"/>
      <x:c r="AP9" s="206"/>
      <x:c r="AQ9" s="130"/>
      <x:c r="AR9" s="149"/>
      <x:c r="AS9" s="134"/>
      <x:c r="AT9" s="406" t="str">
        <x:f>IF(COUNTIF($BF$50:$BF$55,946)=0,"77",IF(COUNTIF($BF$50:$BF$55,946)&gt;1,IF($BF$50=946,$BE$50,"")&amp;IF($BF$51=946,$BE$51,"")&amp;IF($BF$52=946,$BE$52,"")&amp;IF($BF$53=946,$BE$53,"")&amp;IF($BF$54=946,$BE$54,"")&amp;IF($BF$55=946,$BE$55,""),IF($BF$50=946,$BG$50,"")&amp;IF($BF$51=946,$BG$51,"")&amp;IF($BF$52=946,$BG$52,"")&amp;IF($BF$53=946,$BG$53,"")&amp;IF($BF$54=946,$BG$54,"")&amp;IF($BF$55=946,$BG$55,"")))</x:f>
        <x:v>77</x:v>
      </x:c>
      <x:c r="AU9" s="406" t="str">
        <x:f>IF(COUNTIF($BF$50:$BF$55,947)=0,"78",IF(COUNTIF($BF$50:$BF$55,947)&gt;1,IF($BF$50=947,$BE$50,"")&amp;IF($BF$51=947,$BE$51,"")&amp;IF($BF$52=947,$BE$52,"")&amp;IF($BF$53=947,$BE$53,"")&amp;IF($BF$54=947,$BE$54,"")&amp;IF($BF$55=947,$BE$55,""),IF($BF$50=947,$BG$50,"")&amp;IF($BF$51=947,$BG$51,"")&amp;IF($BF$52=947,$BG$52,"")&amp;IF($BF$53=947,$BG$53,"")&amp;IF($BF$54=947,$BG$54,"")&amp;IF($BF$55=947,$BG$55,"")))</x:f>
        <x:v>78</x:v>
      </x:c>
      <x:c r="AV9" s="406" t="str">
        <x:f>IF(COUNTIF($BF$50:$BF$55,948)=0,"79",IF(COUNTIF($BF$50:$BF$55,948)&gt;1,IF($BF$50=948,$BE$50,"")&amp;IF($BF$51=948,$BE$51,"")&amp;IF($BF$52=948,$BE$52,"")&amp;IF($BF$53=948,$BE$53,"")&amp;IF($BF$54=948,$BE$54,"")&amp;IF($BF$55=948,$BE$55,""),IF($BF$50=948,$BG$50,"")&amp;IF($BF$51=948,$BG$51,"")&amp;IF($BF$52=948,$BG$52,"")&amp;IF($BF$53=948,$BG$53,"")&amp;IF($BF$54=948,$BG$54,"")&amp;IF($BF$55=948,$BG$55,"")))</x:f>
        <x:v>79</x:v>
      </x:c>
      <x:c r="AW9" s="406" t="str">
        <x:f>IF(COUNTIF($BF$50:$BF$55,949)=0,"80",IF(COUNTIF($BF$50:$BF$55,949)&gt;1,IF($BF$50=949,$BE$50,"")&amp;IF($BF$51=949,$BE$51,"")&amp;IF($BF$52=949,$BE$52,"")&amp;IF($BF$53=949,$BE$53,"")&amp;IF($BF$54=949,$BE$54,"")&amp;IF($BF$55=949,$BE$55,""),IF($BF$50=949,$BG$50,"")&amp;IF($BF$51=949,$BG$51,"")&amp;IF($BF$52=949,$BG$52,"")&amp;IF($BF$53=949,$BG$53,"")&amp;IF($BF$54=949,$BG$54,"")&amp;IF($BF$55=949,$BG$55,"")))</x:f>
        <x:v>80</x:v>
      </x:c>
      <x:c r="AX9" s="134"/>
      <x:c r="AY9" s="134"/>
      <x:c r="AZ9" s="134"/>
      <x:c r="BA9" s="150"/>
      <x:c r="BB9" s="130"/>
      <x:c r="BC9" s="130"/>
      <x:c r="BD9" s="109"/>
      <x:c r="BE9" s="290" t="str">
        <x:v>播放帧 →</x:v>
      </x:c>
      <x:c r="BF9" s="291"/>
      <x:c r="BG9" s="291"/>
      <x:c r="BH9" s="291"/>
      <x:c r="BI9" s="291"/>
      <x:c r="BJ9" s="291"/>
      <x:c r="BK9" s="291"/>
      <x:c r="BL9" s="298" t="n">
        <x:v>119</x:v>
      </x:c>
      <x:c r="BM9" s="299"/>
      <x:c r="BN9" s="299"/>
      <x:c r="BO9" s="299"/>
      <x:c r="BP9" s="299"/>
      <x:c r="BQ9" s="299"/>
      <x:c r="BR9" s="299"/>
      <x:c r="BS9" s="300"/>
    </x:row>
    <x:row r="10" ht="13.5" customHeight="1">
      <x:c r="A10" s="130"/>
      <x:c r="B10" s="130"/>
      <x:c r="C10" s="130"/>
      <x:c r="D10" s="130"/>
      <x:c r="E10" s="130"/>
      <x:c r="F10" s="130"/>
      <x:c r="G10" s="202" t="str">
        <x:v>◉</x:v>
      </x:c>
      <x:c r="H10" s="202" t="str">
        <x:v>◉</x:v>
      </x:c>
      <x:c r="I10" s="149"/>
      <x:c r="J10" s="408" t="str">
        <x:f>IF(COUNTIF($BF$50:$BF$55,1010)=0,"┆",IF(COUNTIF($BF$50:$BF$55,1010)&gt;1,IF($BF$50=1010,$BE$50,"")&amp;IF($BF$51=1010,$BE$51,"")&amp;IF($BF$52=1010,$BE$52,"")&amp;IF($BF$53=1010,$BE$53,"")&amp;IF($BF$54=1010,$BE$54,"")&amp;IF($BF$55=1010,$BE$55,""),IF($BF$50=1010,$BG$50,"")&amp;IF($BF$51=1010,$BG$51,"")&amp;IF($BF$52=1010,$BG$52,"")&amp;IF($BF$53=1010,$BG$53,"")&amp;IF($BF$54=1010,$BG$54,"")&amp;IF($BF$55=1010,$BG$55,"")))</x:f>
        <x:v>┆</x:v>
      </x:c>
      <x:c r="K10" s="406" t="str">
        <x:f>IF(COUNTIF($BF$50:$BF$55,1011)=0,"35",IF(COUNTIF($BF$50:$BF$55,1011)&gt;1,IF($BF$50=1011,$BE$50,"")&amp;IF($BF$51=1011,$BE$51,"")&amp;IF($BF$52=1011,$BE$52,"")&amp;IF($BF$53=1011,$BE$53,"")&amp;IF($BF$54=1011,$BE$54,"")&amp;IF($BF$55=1011,$BE$55,""),IF($BF$50=1011,$BG$50,"")&amp;IF($BF$51=1011,$BG$51,"")&amp;IF($BF$52=1011,$BG$52,"")&amp;IF($BF$53=1011,$BG$53,"")&amp;IF($BF$54=1011,$BG$54,"")&amp;IF($BF$55=1011,$BG$55,"")))</x:f>
        <x:v>35</x:v>
      </x:c>
      <x:c r="L10" s="148"/>
      <x:c r="M10" s="141"/>
      <x:c r="N10" s="142"/>
      <x:c r="O10" s="141"/>
      <x:c r="P10" s="142"/>
      <x:c r="Q10" s="141"/>
      <x:c r="R10" s="148"/>
      <x:c r="S10" s="406" t="str">
        <x:f>IF(COUNTIF($BF$50:$BF$55,1019)=0,"43",IF(COUNTIF($BF$50:$BF$55,1019)&gt;1,IF($BF$50=1019,$BE$50,"")&amp;IF($BF$51=1019,$BE$51,"")&amp;IF($BF$52=1019,$BE$52,"")&amp;IF($BF$53=1019,$BE$53,"")&amp;IF($BF$54=1019,$BE$54,"")&amp;IF($BF$55=1019,$BE$55,""),IF($BF$50=1019,$BG$50,"")&amp;IF($BF$51=1019,$BG$51,"")&amp;IF($BF$52=1019,$BG$52,"")&amp;IF($BF$53=1019,$BG$53,"")&amp;IF($BF$54=1019,$BG$54,"")&amp;IF($BF$55=1019,$BG$55,"")))</x:f>
        <x:v>43</x:v>
      </x:c>
      <x:c r="T10" s="408" t="str">
        <x:f>IF(COUNTIF($BF$50:$BF$55,1020)=0,"",IF(COUNTIF($BF$50:$BF$55,1020)&gt;1,IF($BF$50=1020,$BE$50,"")&amp;IF($BF$51=1020,$BE$51,"")&amp;IF($BF$52=1020,$BE$52,"")&amp;IF($BF$53=1020,$BE$53,"")&amp;IF($BF$54=1020,$BE$54,"")&amp;IF($BF$55=1020,$BE$55,""),IF($BF$50=1020,$BG$50,"")&amp;IF($BF$51=1020,$BG$51,"")&amp;IF($BF$52=1020,$BG$52,"")&amp;IF($BF$53=1020,$BG$53,"")&amp;IF($BF$54=1020,$BG$54,"")&amp;IF($BF$55=1020,$BG$55,"")))</x:f>
      </x:c>
      <x:c r="U10" s="149"/>
      <x:c r="V10" s="130"/>
      <x:c r="W10" s="206"/>
      <x:c r="X10" s="206"/>
      <x:c r="Y10" s="206"/>
      <x:c r="Z10" s="206"/>
      <x:c r="AA10" s="206"/>
      <x:c r="AB10" s="206"/>
      <x:c r="AC10" s="206"/>
      <x:c r="AD10" s="206"/>
      <x:c r="AE10" s="206"/>
      <x:c r="AF10" s="206"/>
      <x:c r="AG10" s="206"/>
      <x:c r="AH10" s="206"/>
      <x:c r="AI10" s="206"/>
      <x:c r="AJ10" s="206"/>
      <x:c r="AK10" s="206"/>
      <x:c r="AL10" s="206"/>
      <x:c r="AM10" s="206"/>
      <x:c r="AN10" s="206"/>
      <x:c r="AO10" s="206"/>
      <x:c r="AP10" s="206"/>
      <x:c r="AQ10" s="130"/>
      <x:c r="AR10" s="150"/>
      <x:c r="AS10" s="406" t="str">
        <x:f>IF(COUNTIF($BF$50:$BF$55,1045)=0,"76",IF(COUNTIF($BF$50:$BF$55,1045)&gt;1,IF($BF$50=1045,$BE$50,"")&amp;IF($BF$51=1045,$BE$51,"")&amp;IF($BF$52=1045,$BE$52,"")&amp;IF($BF$53=1045,$BE$53,"")&amp;IF($BF$54=1045,$BE$54,"")&amp;IF($BF$55=1045,$BE$55,""),IF($BF$50=1045,$BG$50,"")&amp;IF($BF$51=1045,$BG$51,"")&amp;IF($BF$52=1045,$BG$52,"")&amp;IF($BF$53=1045,$BG$53,"")&amp;IF($BF$54=1045,$BG$54,"")&amp;IF($BF$55=1045,$BG$55,"")))</x:f>
        <x:v>76</x:v>
      </x:c>
      <x:c r="AT10" s="408" t="str">
        <x:f>IF(COUNTIF($BF$50:$BF$55,1046)=0,"┆",IF(COUNTIF($BF$50:$BF$55,1046)&gt;1,IF($BF$50=1046,$BE$50,"")&amp;IF($BF$51=1046,$BE$51,"")&amp;IF($BF$52=1046,$BE$52,"")&amp;IF($BF$53=1046,$BE$53,"")&amp;IF($BF$54=1046,$BE$54,"")&amp;IF($BF$55=1046,$BE$55,""),IF($BF$50=1046,$BG$50,"")&amp;IF($BF$51=1046,$BG$51,"")&amp;IF($BF$52=1046,$BG$52,"")&amp;IF($BF$53=1046,$BG$53,"")&amp;IF($BF$54=1046,$BG$54,"")&amp;IF($BF$55=1046,$BG$55,"")))</x:f>
        <x:v>┆</x:v>
      </x:c>
      <x:c r="AU10" s="156"/>
      <x:c r="AV10" s="142"/>
      <x:c r="AW10" s="156"/>
      <x:c r="AX10" s="406" t="str">
        <x:f>IF(COUNTIF($BF$50:$BF$55,1050)=0,"81",IF(COUNTIF($BF$50:$BF$55,1050)&gt;1,IF($BF$50=1050,$BE$50,"")&amp;IF($BF$51=1050,$BE$51,"")&amp;IF($BF$52=1050,$BE$52,"")&amp;IF($BF$53=1050,$BE$53,"")&amp;IF($BF$54=1050,$BE$54,"")&amp;IF($BF$55=1050,$BE$55,""),IF($BF$50=1050,$BG$50,"")&amp;IF($BF$51=1050,$BG$51,"")&amp;IF($BF$52=1050,$BG$52,"")&amp;IF($BF$53=1050,$BG$53,"")&amp;IF($BF$54=1050,$BG$54,"")&amp;IF($BF$55=1050,$BG$55,"")))</x:f>
        <x:v>81</x:v>
      </x:c>
      <x:c r="AY10" s="408" t="str">
        <x:f>IF(COUNTIF($BF$50:$BF$55,1051)=0,"",IF(COUNTIF($BF$50:$BF$55,1051)&gt;1,IF($BF$50=1051,$BE$50,"")&amp;IF($BF$51=1051,$BE$51,"")&amp;IF($BF$52=1051,$BE$52,"")&amp;IF($BF$53=1051,$BE$53,"")&amp;IF($BF$54=1051,$BE$54,"")&amp;IF($BF$55=1051,$BE$55,""),IF($BF$50=1051,$BG$50,"")&amp;IF($BF$51=1051,$BG$51,"")&amp;IF($BF$52=1051,$BG$52,"")&amp;IF($BF$53=1051,$BG$53,"")&amp;IF($BF$54=1051,$BG$54,"")&amp;IF($BF$55=1051,$BG$55,"")))</x:f>
      </x:c>
      <x:c r="AZ10" s="168" t="str">
        <x:v>┆</x:v>
      </x:c>
      <x:c r="BA10" s="149"/>
      <x:c r="BB10" s="130"/>
      <x:c r="BC10" s="130"/>
      <x:c r="BD10" s="109"/>
      <x:c r="BE10" s="290"/>
      <x:c r="BF10" s="291"/>
      <x:c r="BG10" s="291"/>
      <x:c r="BH10" s="291"/>
      <x:c r="BI10" s="291"/>
      <x:c r="BJ10" s="291"/>
      <x:c r="BK10" s="291"/>
      <x:c r="BL10" s="301"/>
      <x:c r="BM10" s="302"/>
      <x:c r="BN10" s="302"/>
      <x:c r="BO10" s="302"/>
      <x:c r="BP10" s="302"/>
      <x:c r="BQ10" s="302"/>
      <x:c r="BR10" s="302"/>
      <x:c r="BS10" s="303"/>
    </x:row>
    <x:row r="11" ht="13.5" customHeight="1">
      <x:c r="A11" s="130"/>
      <x:c r="B11" s="130"/>
      <x:c r="C11" s="130"/>
      <x:c r="D11" s="130"/>
      <x:c r="E11" s="130"/>
      <x:c r="F11" s="130"/>
      <x:c r="G11" s="202" t="str">
        <x:v>◉</x:v>
      </x:c>
      <x:c r="H11" s="202" t="str">
        <x:v>◉</x:v>
      </x:c>
      <x:c r="I11" s="150"/>
      <x:c r="J11" s="408" t="str">
        <x:f>IF(COUNTIF($BF$50:$BF$55,1110)=0,"┆",IF(COUNTIF($BF$50:$BF$55,1110)&gt;1,IF($BF$50=1110,$BE$50,"")&amp;IF($BF$51=1110,$BE$51,"")&amp;IF($BF$52=1110,$BE$52,"")&amp;IF($BF$53=1110,$BE$53,"")&amp;IF($BF$54=1110,$BE$54,"")&amp;IF($BF$55=1110,$BE$55,""),IF($BF$50=1110,$BG$50,"")&amp;IF($BF$51=1110,$BG$51,"")&amp;IF($BF$52=1110,$BG$52,"")&amp;IF($BF$53=1110,$BG$53,"")&amp;IF($BF$54=1110,$BG$54,"")&amp;IF($BF$55=1110,$BG$55,"")))</x:f>
        <x:v>┆</x:v>
      </x:c>
      <x:c r="K11" s="406" t="str">
        <x:f>IF(COUNTIF($BF$50:$BF$55,1111)=0,"34",IF(COUNTIF($BF$50:$BF$55,1111)&gt;1,IF($BF$50=1111,$BE$50,"")&amp;IF($BF$51=1111,$BE$51,"")&amp;IF($BF$52=1111,$BE$52,"")&amp;IF($BF$53=1111,$BE$53,"")&amp;IF($BF$54=1111,$BE$54,"")&amp;IF($BF$55=1111,$BE$55,""),IF($BF$50=1111,$BG$50,"")&amp;IF($BF$51=1111,$BG$51,"")&amp;IF($BF$52=1111,$BG$52,"")&amp;IF($BF$53=1111,$BG$53,"")&amp;IF($BF$54=1111,$BG$54,"")&amp;IF($BF$55=1111,$BG$55,"")))</x:f>
        <x:v>34</x:v>
      </x:c>
      <x:c r="L11" s="149"/>
      <x:c r="M11" s="132"/>
      <x:c r="N11" s="132"/>
      <x:c r="O11" s="132"/>
      <x:c r="P11" s="200" t="str">
        <x:v>◉</x:v>
      </x:c>
      <x:c r="Q11" s="200" t="str">
        <x:v>◉</x:v>
      </x:c>
      <x:c r="R11" s="149"/>
      <x:c r="S11" s="408" t="str">
        <x:f>IF(COUNTIF($BF$50:$BF$55,1119)=0,"",IF(COUNTIF($BF$50:$BF$55,1119)&gt;1,IF($BF$50=1119,$BE$50,"")&amp;IF($BF$51=1119,$BE$51,"")&amp;IF($BF$52=1119,$BE$52,"")&amp;IF($BF$53=1119,$BE$53,"")&amp;IF($BF$54=1119,$BE$54,"")&amp;IF($BF$55=1119,$BE$55,""),IF($BF$50=1119,$BG$50,"")&amp;IF($BF$51=1119,$BG$51,"")&amp;IF($BF$52=1119,$BG$52,"")&amp;IF($BF$53=1119,$BG$53,"")&amp;IF($BF$54=1119,$BG$54,"")&amp;IF($BF$55=1119,$BG$55,"")))</x:f>
      </x:c>
      <x:c r="T11" s="406" t="str">
        <x:f>IF(COUNTIF($BF$50:$BF$55,1120)=0,"44",IF(COUNTIF($BF$50:$BF$55,1120)&gt;1,IF($BF$50=1120,$BE$50,"")&amp;IF($BF$51=1120,$BE$51,"")&amp;IF($BF$52=1120,$BE$52,"")&amp;IF($BF$53=1120,$BE$53,"")&amp;IF($BF$54=1120,$BE$54,"")&amp;IF($BF$55=1120,$BE$55,""),IF($BF$50=1120,$BG$50,"")&amp;IF($BF$51=1120,$BG$51,"")&amp;IF($BF$52=1120,$BG$52,"")&amp;IF($BF$53=1120,$BG$53,"")&amp;IF($BF$54=1120,$BG$54,"")&amp;IF($BF$55=1120,$BG$55,"")))</x:f>
        <x:v>44</x:v>
      </x:c>
      <x:c r="U11" s="150"/>
      <x:c r="V11" s="130"/>
      <x:c r="W11" s="208" t="str">
        <x:v>G R A N D   P R I X</x:v>
      </x:c>
      <x:c r="X11" s="208"/>
      <x:c r="Y11" s="208"/>
      <x:c r="Z11" s="208"/>
      <x:c r="AA11" s="208"/>
      <x:c r="AB11" s="208"/>
      <x:c r="AC11" s="208"/>
      <x:c r="AD11" s="208"/>
      <x:c r="AE11" s="208"/>
      <x:c r="AF11" s="208"/>
      <x:c r="AG11" s="208"/>
      <x:c r="AH11" s="208"/>
      <x:c r="AI11" s="208"/>
      <x:c r="AJ11" s="208"/>
      <x:c r="AK11" s="208"/>
      <x:c r="AL11" s="208"/>
      <x:c r="AM11" s="208"/>
      <x:c r="AN11" s="208"/>
      <x:c r="AO11" s="208"/>
      <x:c r="AP11" s="208"/>
      <x:c r="AQ11" s="130"/>
      <x:c r="AR11" s="149"/>
      <x:c r="AS11" s="406" t="str">
        <x:f>IF(COUNTIF($BF$50:$BF$55,1145)=0,"75",IF(COUNTIF($BF$50:$BF$55,1145)&gt;1,IF($BF$50=1145,$BE$50,"")&amp;IF($BF$51=1145,$BE$51,"")&amp;IF($BF$52=1145,$BE$52,"")&amp;IF($BF$53=1145,$BE$53,"")&amp;IF($BF$54=1145,$BE$54,"")&amp;IF($BF$55=1145,$BE$55,""),IF($BF$50=1145,$BG$50,"")&amp;IF($BF$51=1145,$BG$51,"")&amp;IF($BF$52=1145,$BG$52,"")&amp;IF($BF$53=1145,$BG$53,"")&amp;IF($BF$54=1145,$BG$54,"")&amp;IF($BF$55=1145,$BG$55,"")))</x:f>
        <x:v>75</x:v>
      </x:c>
      <x:c r="AT11" s="408" t="str">
        <x:f>IF(COUNTIF($BF$50:$BF$55,1146)=0,"┆",IF(COUNTIF($BF$50:$BF$55,1146)&gt;1,IF($BF$50=1146,$BE$50,"")&amp;IF($BF$51=1146,$BE$51,"")&amp;IF($BF$52=1146,$BE$52,"")&amp;IF($BF$53=1146,$BE$53,"")&amp;IF($BF$54=1146,$BE$54,"")&amp;IF($BF$55=1146,$BE$55,""),IF($BF$50=1146,$BG$50,"")&amp;IF($BF$51=1146,$BG$51,"")&amp;IF($BF$52=1146,$BG$52,"")&amp;IF($BF$53=1146,$BG$53,"")&amp;IF($BF$54=1146,$BG$54,"")&amp;IF($BF$55=1146,$BG$55,"")))</x:f>
        <x:v>┆</x:v>
      </x:c>
      <x:c r="AU11" s="150"/>
      <x:c r="AV11" s="132"/>
      <x:c r="AW11" s="150"/>
      <x:c r="AX11" s="134"/>
      <x:c r="AY11" s="406" t="str">
        <x:f>IF(COUNTIF($BF$50:$BF$55,1151)=0,"82",IF(COUNTIF($BF$50:$BF$55,1151)&gt;1,IF($BF$50=1151,$BE$50,"")&amp;IF($BF$51=1151,$BE$51,"")&amp;IF($BF$52=1151,$BE$52,"")&amp;IF($BF$53=1151,$BE$53,"")&amp;IF($BF$54=1151,$BE$54,"")&amp;IF($BF$55=1151,$BE$55,""),IF($BF$50=1151,$BG$50,"")&amp;IF($BF$51=1151,$BG$51,"")&amp;IF($BF$52=1151,$BG$52,"")&amp;IF($BF$53=1151,$BG$53,"")&amp;IF($BF$54=1151,$BG$54,"")&amp;IF($BF$55=1151,$BG$55,"")))</x:f>
        <x:v>82</x:v>
      </x:c>
      <x:c r="AZ11" s="408" t="str">
        <x:f>IF(COUNTIF($BF$50:$BF$55,1152)=0,"┆",IF(COUNTIF($BF$50:$BF$55,1152)&gt;1,IF($BF$50=1152,$BE$50,"")&amp;IF($BF$51=1152,$BE$51,"")&amp;IF($BF$52=1152,$BE$52,"")&amp;IF($BF$53=1152,$BE$53,"")&amp;IF($BF$54=1152,$BE$54,"")&amp;IF($BF$55=1152,$BE$55,""),IF($BF$50=1152,$BG$50,"")&amp;IF($BF$51=1152,$BG$51,"")&amp;IF($BF$52=1152,$BG$52,"")&amp;IF($BF$53=1152,$BG$53,"")&amp;IF($BF$54=1152,$BG$54,"")&amp;IF($BF$55=1152,$BG$55,"")))</x:f>
        <x:v>┆</x:v>
      </x:c>
      <x:c r="BA11" s="150"/>
      <x:c r="BB11" s="202" t="str">
        <x:v>◉</x:v>
      </x:c>
      <x:c r="BC11" s="202" t="str">
        <x:v>◉</x:v>
      </x:c>
      <x:c r="BD11" s="109"/>
      <x:c r="BE11" s="253"/>
      <x:c r="BF11" s="248"/>
      <x:c r="BG11" s="248"/>
      <x:c r="BH11" s="248"/>
      <x:c r="BI11" s="248"/>
      <x:c r="BJ11" s="248"/>
      <x:c r="BK11" s="248"/>
      <x:c r="BL11" s="248"/>
      <x:c r="BM11" s="248"/>
      <x:c r="BN11" s="248"/>
      <x:c r="BO11" s="248"/>
      <x:c r="BP11" s="248"/>
      <x:c r="BQ11" s="248"/>
      <x:c r="BR11" s="248"/>
      <x:c r="BS11" s="254"/>
    </x:row>
    <x:row r="12" ht="13.5" customHeight="1">
      <x:c r="A12" s="130"/>
      <x:c r="B12" s="130"/>
      <x:c r="C12" s="130"/>
      <x:c r="D12" s="130"/>
      <x:c r="E12" s="130"/>
      <x:c r="F12" s="130"/>
      <x:c r="G12" s="202" t="str">
        <x:v>◉</x:v>
      </x:c>
      <x:c r="H12" s="202" t="str">
        <x:v>◉</x:v>
      </x:c>
      <x:c r="I12" s="149"/>
      <x:c r="J12" s="408" t="str">
        <x:f>IF(COUNTIF($BF$50:$BF$55,1210)=0,"┆",IF(COUNTIF($BF$50:$BF$55,1210)&gt;1,IF($BF$50=1210,$BE$50,"")&amp;IF($BF$51=1210,$BE$51,"")&amp;IF($BF$52=1210,$BE$52,"")&amp;IF($BF$53=1210,$BE$53,"")&amp;IF($BF$54=1210,$BE$54,"")&amp;IF($BF$55=1210,$BE$55,""),IF($BF$50=1210,$BG$50,"")&amp;IF($BF$51=1210,$BG$51,"")&amp;IF($BF$52=1210,$BG$52,"")&amp;IF($BF$53=1210,$BG$53,"")&amp;IF($BF$54=1210,$BG$54,"")&amp;IF($BF$55=1210,$BG$55,"")))</x:f>
        <x:v>┆</x:v>
      </x:c>
      <x:c r="K12" s="406" t="str">
        <x:f>IF(COUNTIF($BF$50:$BF$55,1211)=0,"33",IF(COUNTIF($BF$50:$BF$55,1211)&gt;1,IF($BF$50=1211,$BE$50,"")&amp;IF($BF$51=1211,$BE$51,"")&amp;IF($BF$52=1211,$BE$52,"")&amp;IF($BF$53=1211,$BE$53,"")&amp;IF($BF$54=1211,$BE$54,"")&amp;IF($BF$55=1211,$BE$55,""),IF($BF$50=1211,$BG$50,"")&amp;IF($BF$51=1211,$BG$51,"")&amp;IF($BF$52=1211,$BG$52,"")&amp;IF($BF$53=1211,$BG$53,"")&amp;IF($BF$54=1211,$BG$54,"")&amp;IF($BF$55=1211,$BG$55,"")))</x:f>
        <x:v>33</x:v>
      </x:c>
      <x:c r="L12" s="150"/>
      <x:c r="M12" s="132"/>
      <x:c r="N12" s="132"/>
      <x:c r="O12" s="132"/>
      <x:c r="P12" s="200" t="str">
        <x:v>◉</x:v>
      </x:c>
      <x:c r="Q12" s="200" t="str">
        <x:v>◉</x:v>
      </x:c>
      <x:c r="R12" s="150"/>
      <x:c r="S12" s="408" t="str">
        <x:f>IF(COUNTIF($BF$50:$BF$55,1219)=0,"",IF(COUNTIF($BF$50:$BF$55,1219)&gt;1,IF($BF$50=1219,$BE$50,"")&amp;IF($BF$51=1219,$BE$51,"")&amp;IF($BF$52=1219,$BE$52,"")&amp;IF($BF$53=1219,$BE$53,"")&amp;IF($BF$54=1219,$BE$54,"")&amp;IF($BF$55=1219,$BE$55,""),IF($BF$50=1219,$BG$50,"")&amp;IF($BF$51=1219,$BG$51,"")&amp;IF($BF$52=1219,$BG$52,"")&amp;IF($BF$53=1219,$BG$53,"")&amp;IF($BF$54=1219,$BG$54,"")&amp;IF($BF$55=1219,$BG$55,"")))</x:f>
      </x:c>
      <x:c r="T12" s="406" t="str">
        <x:f>IF(COUNTIF($BF$50:$BF$55,1220)=0,"45",IF(COUNTIF($BF$50:$BF$55,1220)&gt;1,IF($BF$50=1220,$BE$50,"")&amp;IF($BF$51=1220,$BE$51,"")&amp;IF($BF$52=1220,$BE$52,"")&amp;IF($BF$53=1220,$BE$53,"")&amp;IF($BF$54=1220,$BE$54,"")&amp;IF($BF$55=1220,$BE$55,""),IF($BF$50=1220,$BG$50,"")&amp;IF($BF$51=1220,$BG$51,"")&amp;IF($BF$52=1220,$BG$52,"")&amp;IF($BF$53=1220,$BG$53,"")&amp;IF($BF$54=1220,$BG$54,"")&amp;IF($BF$55=1220,$BG$55,"")))</x:f>
        <x:v>45</x:v>
      </x:c>
      <x:c r="U12" s="149"/>
      <x:c r="V12" s="130"/>
      <x:c r="W12" s="208"/>
      <x:c r="X12" s="208"/>
      <x:c r="Y12" s="208"/>
      <x:c r="Z12" s="208"/>
      <x:c r="AA12" s="208"/>
      <x:c r="AB12" s="208"/>
      <x:c r="AC12" s="208"/>
      <x:c r="AD12" s="208"/>
      <x:c r="AE12" s="208"/>
      <x:c r="AF12" s="208"/>
      <x:c r="AG12" s="208"/>
      <x:c r="AH12" s="208"/>
      <x:c r="AI12" s="208"/>
      <x:c r="AJ12" s="208"/>
      <x:c r="AK12" s="208"/>
      <x:c r="AL12" s="208"/>
      <x:c r="AM12" s="208"/>
      <x:c r="AN12" s="208"/>
      <x:c r="AO12" s="208"/>
      <x:c r="AP12" s="208"/>
      <x:c r="AQ12" s="130"/>
      <x:c r="AR12" s="150"/>
      <x:c r="AS12" s="406" t="str">
        <x:f>IF(COUNTIF($BF$50:$BF$55,1245)=0,"74",IF(COUNTIF($BF$50:$BF$55,1245)&gt;1,IF($BF$50=1245,$BE$50,"")&amp;IF($BF$51=1245,$BE$51,"")&amp;IF($BF$52=1245,$BE$52,"")&amp;IF($BF$53=1245,$BE$53,"")&amp;IF($BF$54=1245,$BE$54,"")&amp;IF($BF$55=1245,$BE$55,""),IF($BF$50=1245,$BG$50,"")&amp;IF($BF$51=1245,$BG$51,"")&amp;IF($BF$52=1245,$BG$52,"")&amp;IF($BF$53=1245,$BG$53,"")&amp;IF($BF$54=1245,$BG$54,"")&amp;IF($BF$55=1245,$BG$55,"")))</x:f>
        <x:v>74</x:v>
      </x:c>
      <x:c r="AT12" s="408" t="str">
        <x:f>IF(COUNTIF($BF$50:$BF$55,1246)=0,"┆",IF(COUNTIF($BF$50:$BF$55,1246)&gt;1,IF($BF$50=1246,$BE$50,"")&amp;IF($BF$51=1246,$BE$51,"")&amp;IF($BF$52=1246,$BE$52,"")&amp;IF($BF$53=1246,$BE$53,"")&amp;IF($BF$54=1246,$BE$54,"")&amp;IF($BF$55=1246,$BE$55,""),IF($BF$50=1246,$BG$50,"")&amp;IF($BF$51=1246,$BG$51,"")&amp;IF($BF$52=1246,$BG$52,"")&amp;IF($BF$53=1246,$BG$53,"")&amp;IF($BF$54=1246,$BG$54,"")&amp;IF($BF$55=1246,$BG$55,"")))</x:f>
        <x:v>┆</x:v>
      </x:c>
      <x:c r="AU12" s="149"/>
      <x:c r="AV12" s="132"/>
      <x:c r="AW12" s="149"/>
      <x:c r="AX12" s="134"/>
      <x:c r="AY12" s="406" t="str">
        <x:f>IF(COUNTIF($BF$50:$BF$55,1251)=0,"83",IF(COUNTIF($BF$50:$BF$55,1251)&gt;1,IF($BF$50=1251,$BE$50,"")&amp;IF($BF$51=1251,$BE$51,"")&amp;IF($BF$52=1251,$BE$52,"")&amp;IF($BF$53=1251,$BE$53,"")&amp;IF($BF$54=1251,$BE$54,"")&amp;IF($BF$55=1251,$BE$55,""),IF($BF$50=1251,$BG$50,"")&amp;IF($BF$51=1251,$BG$51,"")&amp;IF($BF$52=1251,$BG$52,"")&amp;IF($BF$53=1251,$BG$53,"")&amp;IF($BF$54=1251,$BG$54,"")&amp;IF($BF$55=1251,$BG$55,"")))</x:f>
        <x:v>83</x:v>
      </x:c>
      <x:c r="AZ12" s="408" t="str">
        <x:f>IF(COUNTIF($BF$50:$BF$55,1252)=0,"┆",IF(COUNTIF($BF$50:$BF$55,1252)&gt;1,IF($BF$50=1252,$BE$50,"")&amp;IF($BF$51=1252,$BE$51,"")&amp;IF($BF$52=1252,$BE$52,"")&amp;IF($BF$53=1252,$BE$53,"")&amp;IF($BF$54=1252,$BE$54,"")&amp;IF($BF$55=1252,$BE$55,""),IF($BF$50=1252,$BG$50,"")&amp;IF($BF$51=1252,$BG$51,"")&amp;IF($BF$52=1252,$BG$52,"")&amp;IF($BF$53=1252,$BG$53,"")&amp;IF($BF$54=1252,$BG$54,"")&amp;IF($BF$55=1252,$BG$55,"")))</x:f>
        <x:v>┆</x:v>
      </x:c>
      <x:c r="BA12" s="149"/>
      <x:c r="BB12" s="202" t="str">
        <x:v>◉</x:v>
      </x:c>
      <x:c r="BC12" s="202" t="str">
        <x:v>◉</x:v>
      </x:c>
      <x:c r="BD12" s="109"/>
      <x:c r="BE12" s="314" t="str">
        <x:v>输入 0–240，按 Enter 更新赛况</x:v>
      </x:c>
      <x:c r="BF12" s="315"/>
      <x:c r="BG12" s="315"/>
      <x:c r="BH12" s="315"/>
      <x:c r="BI12" s="315"/>
      <x:c r="BJ12" s="315"/>
      <x:c r="BK12" s="315"/>
      <x:c r="BL12" s="315"/>
      <x:c r="BM12" s="315"/>
      <x:c r="BN12" s="315"/>
      <x:c r="BO12" s="315"/>
      <x:c r="BP12" s="315"/>
      <x:c r="BQ12" s="315"/>
      <x:c r="BR12" s="315"/>
      <x:c r="BS12" s="316"/>
    </x:row>
    <x:row r="13" ht="13.5" customHeight="1">
      <x:c r="A13" s="130"/>
      <x:c r="B13" s="130"/>
      <x:c r="C13" s="130"/>
      <x:c r="D13" s="130"/>
      <x:c r="E13" s="130"/>
      <x:c r="F13" s="130"/>
      <x:c r="G13" s="202" t="str">
        <x:v>◉</x:v>
      </x:c>
      <x:c r="H13" s="202" t="str">
        <x:v>◉</x:v>
      </x:c>
      <x:c r="I13" s="150"/>
      <x:c r="J13" s="408" t="str">
        <x:f>IF(COUNTIF($BF$50:$BF$55,1310)=0,"┆",IF(COUNTIF($BF$50:$BF$55,1310)&gt;1,IF($BF$50=1310,$BE$50,"")&amp;IF($BF$51=1310,$BE$51,"")&amp;IF($BF$52=1310,$BE$52,"")&amp;IF($BF$53=1310,$BE$53,"")&amp;IF($BF$54=1310,$BE$54,"")&amp;IF($BF$55=1310,$BE$55,""),IF($BF$50=1310,$BG$50,"")&amp;IF($BF$51=1310,$BG$51,"")&amp;IF($BF$52=1310,$BG$52,"")&amp;IF($BF$53=1310,$BG$53,"")&amp;IF($BF$54=1310,$BG$54,"")&amp;IF($BF$55=1310,$BG$55,"")))</x:f>
        <x:v>┆</x:v>
      </x:c>
      <x:c r="K13" s="406" t="str">
        <x:f>IF(COUNTIF($BF$50:$BF$55,1311)=0,"32",IF(COUNTIF($BF$50:$BF$55,1311)&gt;1,IF($BF$50=1311,$BE$50,"")&amp;IF($BF$51=1311,$BE$51,"")&amp;IF($BF$52=1311,$BE$52,"")&amp;IF($BF$53=1311,$BE$53,"")&amp;IF($BF$54=1311,$BE$54,"")&amp;IF($BF$55=1311,$BE$55,""),IF($BF$50=1311,$BG$50,"")&amp;IF($BF$51=1311,$BG$51,"")&amp;IF($BF$52=1311,$BG$52,"")&amp;IF($BF$53=1311,$BG$53,"")&amp;IF($BF$54=1311,$BG$54,"")&amp;IF($BF$55=1311,$BG$55,"")))</x:f>
        <x:v>32</x:v>
      </x:c>
      <x:c r="L13" s="149"/>
      <x:c r="M13" s="132"/>
      <x:c r="N13" s="132"/>
      <x:c r="O13" s="132"/>
      <x:c r="P13" s="200" t="str">
        <x:v>◉</x:v>
      </x:c>
      <x:c r="Q13" s="200" t="str">
        <x:v>◉</x:v>
      </x:c>
      <x:c r="R13" s="149"/>
      <x:c r="S13" s="408" t="str">
        <x:f>IF(COUNTIF($BF$50:$BF$55,1319)=0,"",IF(COUNTIF($BF$50:$BF$55,1319)&gt;1,IF($BF$50=1319,$BE$50,"")&amp;IF($BF$51=1319,$BE$51,"")&amp;IF($BF$52=1319,$BE$52,"")&amp;IF($BF$53=1319,$BE$53,"")&amp;IF($BF$54=1319,$BE$54,"")&amp;IF($BF$55=1319,$BE$55,""),IF($BF$50=1319,$BG$50,"")&amp;IF($BF$51=1319,$BG$51,"")&amp;IF($BF$52=1319,$BG$52,"")&amp;IF($BF$53=1319,$BG$53,"")&amp;IF($BF$54=1319,$BG$54,"")&amp;IF($BF$55=1319,$BG$55,"")))</x:f>
      </x:c>
      <x:c r="T13" s="406" t="str">
        <x:f>IF(COUNTIF($BF$50:$BF$55,1320)=0,"46",IF(COUNTIF($BF$50:$BF$55,1320)&gt;1,IF($BF$50=1320,$BE$50,"")&amp;IF($BF$51=1320,$BE$51,"")&amp;IF($BF$52=1320,$BE$52,"")&amp;IF($BF$53=1320,$BE$53,"")&amp;IF($BF$54=1320,$BE$54,"")&amp;IF($BF$55=1320,$BE$55,""),IF($BF$50=1320,$BG$50,"")&amp;IF($BF$51=1320,$BG$51,"")&amp;IF($BF$52=1320,$BG$52,"")&amp;IF($BF$53=1320,$BG$53,"")&amp;IF($BF$54=1320,$BG$54,"")&amp;IF($BF$55=1320,$BG$55,"")))</x:f>
        <x:v>46</x:v>
      </x:c>
      <x:c r="U13" s="150"/>
      <x:c r="V13" s="130"/>
      <x:c r="W13" s="204" t="str">
        <x:f>Control!B7&amp;" CELLS  •  "&amp;Control!B18&amp;" CARS  •  "&amp;Control!B6&amp;" LAPS"</x:f>
        <x:v>134 CELLS  •  6 CARS  •  5 LAPS</x:v>
      </x:c>
      <x:c r="X13" s="204"/>
      <x:c r="Y13" s="204"/>
      <x:c r="Z13" s="204"/>
      <x:c r="AA13" s="204"/>
      <x:c r="AB13" s="204"/>
      <x:c r="AC13" s="204"/>
      <x:c r="AD13" s="204"/>
      <x:c r="AE13" s="204"/>
      <x:c r="AF13" s="204"/>
      <x:c r="AG13" s="204"/>
      <x:c r="AH13" s="204"/>
      <x:c r="AI13" s="204"/>
      <x:c r="AJ13" s="204"/>
      <x:c r="AK13" s="204"/>
      <x:c r="AL13" s="204"/>
      <x:c r="AM13" s="204"/>
      <x:c r="AN13" s="204"/>
      <x:c r="AO13" s="204"/>
      <x:c r="AP13" s="204"/>
      <x:c r="AQ13" s="130"/>
      <x:c r="AR13" s="149"/>
      <x:c r="AS13" s="406" t="str">
        <x:f>IF(COUNTIF($BF$50:$BF$55,1345)=0,"73",IF(COUNTIF($BF$50:$BF$55,1345)&gt;1,IF($BF$50=1345,$BE$50,"")&amp;IF($BF$51=1345,$BE$51,"")&amp;IF($BF$52=1345,$BE$52,"")&amp;IF($BF$53=1345,$BE$53,"")&amp;IF($BF$54=1345,$BE$54,"")&amp;IF($BF$55=1345,$BE$55,""),IF($BF$50=1345,$BG$50,"")&amp;IF($BF$51=1345,$BG$51,"")&amp;IF($BF$52=1345,$BG$52,"")&amp;IF($BF$53=1345,$BG$53,"")&amp;IF($BF$54=1345,$BG$54,"")&amp;IF($BF$55=1345,$BG$55,"")))</x:f>
        <x:v>73</x:v>
      </x:c>
      <x:c r="AT13" s="408" t="str">
        <x:f>IF(COUNTIF($BF$50:$BF$55,1346)=0,"┆",IF(COUNTIF($BF$50:$BF$55,1346)&gt;1,IF($BF$50=1346,$BE$50,"")&amp;IF($BF$51=1346,$BE$51,"")&amp;IF($BF$52=1346,$BE$52,"")&amp;IF($BF$53=1346,$BE$53,"")&amp;IF($BF$54=1346,$BE$54,"")&amp;IF($BF$55=1346,$BE$55,""),IF($BF$50=1346,$BG$50,"")&amp;IF($BF$51=1346,$BG$51,"")&amp;IF($BF$52=1346,$BG$52,"")&amp;IF($BF$53=1346,$BG$53,"")&amp;IF($BF$54=1346,$BG$54,"")&amp;IF($BF$55=1346,$BG$55,"")))</x:f>
        <x:v>┆</x:v>
      </x:c>
      <x:c r="AU13" s="150"/>
      <x:c r="AV13" s="132"/>
      <x:c r="AW13" s="150"/>
      <x:c r="AX13" s="134"/>
      <x:c r="AY13" s="406" t="str">
        <x:f>IF(COUNTIF($BF$50:$BF$55,1351)=0,"84",IF(COUNTIF($BF$50:$BF$55,1351)&gt;1,IF($BF$50=1351,$BE$50,"")&amp;IF($BF$51=1351,$BE$51,"")&amp;IF($BF$52=1351,$BE$52,"")&amp;IF($BF$53=1351,$BE$53,"")&amp;IF($BF$54=1351,$BE$54,"")&amp;IF($BF$55=1351,$BE$55,""),IF($BF$50=1351,$BG$50,"")&amp;IF($BF$51=1351,$BG$51,"")&amp;IF($BF$52=1351,$BG$52,"")&amp;IF($BF$53=1351,$BG$53,"")&amp;IF($BF$54=1351,$BG$54,"")&amp;IF($BF$55=1351,$BG$55,"")))</x:f>
        <x:v>84</x:v>
      </x:c>
      <x:c r="AZ13" s="408" t="str">
        <x:f>IF(COUNTIF($BF$50:$BF$55,1352)=0,"┆",IF(COUNTIF($BF$50:$BF$55,1352)&gt;1,IF($BF$50=1352,$BE$50,"")&amp;IF($BF$51=1352,$BE$51,"")&amp;IF($BF$52=1352,$BE$52,"")&amp;IF($BF$53=1352,$BE$53,"")&amp;IF($BF$54=1352,$BE$54,"")&amp;IF($BF$55=1352,$BE$55,""),IF($BF$50=1352,$BG$50,"")&amp;IF($BF$51=1352,$BG$51,"")&amp;IF($BF$52=1352,$BG$52,"")&amp;IF($BF$53=1352,$BG$53,"")&amp;IF($BF$54=1352,$BG$54,"")&amp;IF($BF$55=1352,$BG$55,"")))</x:f>
        <x:v>┆</x:v>
      </x:c>
      <x:c r="BA13" s="150"/>
      <x:c r="BB13" s="202" t="str">
        <x:v>◉</x:v>
      </x:c>
      <x:c r="BC13" s="202" t="str">
        <x:v>◉</x:v>
      </x:c>
      <x:c r="BD13" s="109"/>
      <x:c r="BE13" s="253"/>
      <x:c r="BF13" s="248"/>
      <x:c r="BG13" s="248"/>
      <x:c r="BH13" s="248"/>
      <x:c r="BI13" s="248"/>
      <x:c r="BJ13" s="248"/>
      <x:c r="BK13" s="248"/>
      <x:c r="BL13" s="248"/>
      <x:c r="BM13" s="248"/>
      <x:c r="BN13" s="248"/>
      <x:c r="BO13" s="248"/>
      <x:c r="BP13" s="248"/>
      <x:c r="BQ13" s="248"/>
      <x:c r="BR13" s="248"/>
      <x:c r="BS13" s="254"/>
    </x:row>
    <x:row r="14" ht="13.5" customHeight="1">
      <x:c r="A14" s="130"/>
      <x:c r="B14" s="130"/>
      <x:c r="C14" s="130"/>
      <x:c r="D14" s="130"/>
      <x:c r="E14" s="130"/>
      <x:c r="F14" s="130"/>
      <x:c r="G14" s="202" t="str">
        <x:v>◉</x:v>
      </x:c>
      <x:c r="H14" s="202" t="str">
        <x:v>◉</x:v>
      </x:c>
      <x:c r="I14" s="149"/>
      <x:c r="J14" s="408" t="str">
        <x:f>IF(COUNTIF($BF$50:$BF$55,1410)=0,"┆",IF(COUNTIF($BF$50:$BF$55,1410)&gt;1,IF($BF$50=1410,$BE$50,"")&amp;IF($BF$51=1410,$BE$51,"")&amp;IF($BF$52=1410,$BE$52,"")&amp;IF($BF$53=1410,$BE$53,"")&amp;IF($BF$54=1410,$BE$54,"")&amp;IF($BF$55=1410,$BE$55,""),IF($BF$50=1410,$BG$50,"")&amp;IF($BF$51=1410,$BG$51,"")&amp;IF($BF$52=1410,$BG$52,"")&amp;IF($BF$53=1410,$BG$53,"")&amp;IF($BF$54=1410,$BG$54,"")&amp;IF($BF$55=1410,$BG$55,"")))</x:f>
        <x:v>┆</x:v>
      </x:c>
      <x:c r="K14" s="406" t="str">
        <x:f>IF(COUNTIF($BF$50:$BF$55,1411)=0,"31",IF(COUNTIF($BF$50:$BF$55,1411)&gt;1,IF($BF$50=1411,$BE$50,"")&amp;IF($BF$51=1411,$BE$51,"")&amp;IF($BF$52=1411,$BE$52,"")&amp;IF($BF$53=1411,$BE$53,"")&amp;IF($BF$54=1411,$BE$54,"")&amp;IF($BF$55=1411,$BE$55,""),IF($BF$50=1411,$BG$50,"")&amp;IF($BF$51=1411,$BG$51,"")&amp;IF($BF$52=1411,$BG$52,"")&amp;IF($BF$53=1411,$BG$53,"")&amp;IF($BF$54=1411,$BG$54,"")&amp;IF($BF$55=1411,$BG$55,"")))</x:f>
        <x:v>31</x:v>
      </x:c>
      <x:c r="L14" s="150"/>
      <x:c r="M14" s="132"/>
      <x:c r="N14" s="132"/>
      <x:c r="O14" s="132"/>
      <x:c r="P14" s="200" t="str">
        <x:v>◉</x:v>
      </x:c>
      <x:c r="Q14" s="200" t="str">
        <x:v>◉</x:v>
      </x:c>
      <x:c r="R14" s="150"/>
      <x:c r="S14" s="408" t="str">
        <x:f>IF(COUNTIF($BF$50:$BF$55,1419)=0,"",IF(COUNTIF($BF$50:$BF$55,1419)&gt;1,IF($BF$50=1419,$BE$50,"")&amp;IF($BF$51=1419,$BE$51,"")&amp;IF($BF$52=1419,$BE$52,"")&amp;IF($BF$53=1419,$BE$53,"")&amp;IF($BF$54=1419,$BE$54,"")&amp;IF($BF$55=1419,$BE$55,""),IF($BF$50=1419,$BG$50,"")&amp;IF($BF$51=1419,$BG$51,"")&amp;IF($BF$52=1419,$BG$52,"")&amp;IF($BF$53=1419,$BG$53,"")&amp;IF($BF$54=1419,$BG$54,"")&amp;IF($BF$55=1419,$BG$55,"")))</x:f>
      </x:c>
      <x:c r="T14" s="406" t="str">
        <x:f>IF(COUNTIF($BF$50:$BF$55,1420)=0,"47",IF(COUNTIF($BF$50:$BF$55,1420)&gt;1,IF($BF$50=1420,$BE$50,"")&amp;IF($BF$51=1420,$BE$51,"")&amp;IF($BF$52=1420,$BE$52,"")&amp;IF($BF$53=1420,$BE$53,"")&amp;IF($BF$54=1420,$BE$54,"")&amp;IF($BF$55=1420,$BE$55,""),IF($BF$50=1420,$BG$50,"")&amp;IF($BF$51=1420,$BG$51,"")&amp;IF($BF$52=1420,$BG$52,"")&amp;IF($BF$53=1420,$BG$53,"")&amp;IF($BF$54=1420,$BG$54,"")&amp;IF($BF$55=1420,$BG$55,"")))</x:f>
        <x:v>47</x:v>
      </x:c>
      <x:c r="U14" s="156"/>
      <x:c r="V14" s="142"/>
      <x:c r="W14" s="141"/>
      <x:c r="X14" s="142"/>
      <x:c r="Y14" s="141"/>
      <x:c r="Z14" s="142"/>
      <x:c r="AA14" s="141"/>
      <x:c r="AB14" s="142"/>
      <x:c r="AC14" s="141"/>
      <x:c r="AD14" s="142"/>
      <x:c r="AE14" s="141"/>
      <x:c r="AF14" s="142"/>
      <x:c r="AG14" s="141"/>
      <x:c r="AH14" s="142"/>
      <x:c r="AI14" s="141"/>
      <x:c r="AJ14" s="142"/>
      <x:c r="AK14" s="141"/>
      <x:c r="AL14" s="142"/>
      <x:c r="AM14" s="141"/>
      <x:c r="AN14" s="142"/>
      <x:c r="AO14" s="141"/>
      <x:c r="AP14" s="142"/>
      <x:c r="AQ14" s="141"/>
      <x:c r="AR14" s="148"/>
      <x:c r="AS14" s="406" t="str">
        <x:f>IF(COUNTIF($BF$50:$BF$55,1445)=0,"72",IF(COUNTIF($BF$50:$BF$55,1445)&gt;1,IF($BF$50=1445,$BE$50,"")&amp;IF($BF$51=1445,$BE$51,"")&amp;IF($BF$52=1445,$BE$52,"")&amp;IF($BF$53=1445,$BE$53,"")&amp;IF($BF$54=1445,$BE$54,"")&amp;IF($BF$55=1445,$BE$55,""),IF($BF$50=1445,$BG$50,"")&amp;IF($BF$51=1445,$BG$51,"")&amp;IF($BF$52=1445,$BG$52,"")&amp;IF($BF$53=1445,$BG$53,"")&amp;IF($BF$54=1445,$BG$54,"")&amp;IF($BF$55=1445,$BG$55,"")))</x:f>
        <x:v>72</x:v>
      </x:c>
      <x:c r="AT14" s="408" t="str">
        <x:f>IF(COUNTIF($BF$50:$BF$55,1446)=0,"┆",IF(COUNTIF($BF$50:$BF$55,1446)&gt;1,IF($BF$50=1446,$BE$50,"")&amp;IF($BF$51=1446,$BE$51,"")&amp;IF($BF$52=1446,$BE$52,"")&amp;IF($BF$53=1446,$BE$53,"")&amp;IF($BF$54=1446,$BE$54,"")&amp;IF($BF$55=1446,$BE$55,""),IF($BF$50=1446,$BG$50,"")&amp;IF($BF$51=1446,$BG$51,"")&amp;IF($BF$52=1446,$BG$52,"")&amp;IF($BF$53=1446,$BG$53,"")&amp;IF($BF$54=1446,$BG$54,"")&amp;IF($BF$55=1446,$BG$55,"")))</x:f>
        <x:v>┆</x:v>
      </x:c>
      <x:c r="AU14" s="149"/>
      <x:c r="AV14" s="132"/>
      <x:c r="AW14" s="149"/>
      <x:c r="AX14" s="134"/>
      <x:c r="AY14" s="406" t="str">
        <x:f>IF(COUNTIF($BF$50:$BF$55,1451)=0,"85",IF(COUNTIF($BF$50:$BF$55,1451)&gt;1,IF($BF$50=1451,$BE$50,"")&amp;IF($BF$51=1451,$BE$51,"")&amp;IF($BF$52=1451,$BE$52,"")&amp;IF($BF$53=1451,$BE$53,"")&amp;IF($BF$54=1451,$BE$54,"")&amp;IF($BF$55=1451,$BE$55,""),IF($BF$50=1451,$BG$50,"")&amp;IF($BF$51=1451,$BG$51,"")&amp;IF($BF$52=1451,$BG$52,"")&amp;IF($BF$53=1451,$BG$53,"")&amp;IF($BF$54=1451,$BG$54,"")&amp;IF($BF$55=1451,$BG$55,"")))</x:f>
        <x:v>85</x:v>
      </x:c>
      <x:c r="AZ14" s="408" t="str">
        <x:f>IF(COUNTIF($BF$50:$BF$55,1452)=0,"┆",IF(COUNTIF($BF$50:$BF$55,1452)&gt;1,IF($BF$50=1452,$BE$50,"")&amp;IF($BF$51=1452,$BE$51,"")&amp;IF($BF$52=1452,$BE$52,"")&amp;IF($BF$53=1452,$BE$53,"")&amp;IF($BF$54=1452,$BE$54,"")&amp;IF($BF$55=1452,$BE$55,""),IF($BF$50=1452,$BG$50,"")&amp;IF($BF$51=1452,$BG$51,"")&amp;IF($BF$52=1452,$BG$52,"")&amp;IF($BF$53=1452,$BG$53,"")&amp;IF($BF$54=1452,$BG$54,"")&amp;IF($BF$55=1452,$BG$55,"")))</x:f>
        <x:v>┆</x:v>
      </x:c>
      <x:c r="BA14" s="149"/>
      <x:c r="BB14" s="202" t="str">
        <x:v>◉</x:v>
      </x:c>
      <x:c r="BC14" s="202" t="str">
        <x:v>◉</x:v>
      </x:c>
      <x:c r="BD14" s="109"/>
      <x:c r="BE14" s="253"/>
      <x:c r="BF14" s="320" t="str">
        <x:v>模拟时间</x:v>
      </x:c>
      <x:c r="BG14" s="320"/>
      <x:c r="BH14" s="320"/>
      <x:c r="BI14" s="320"/>
      <x:c r="BJ14" s="320"/>
      <x:c r="BK14" s="320"/>
      <x:c r="BL14" s="322" t="str">
        <x:f>TEXT(Control!$B$4*Control!$B$5,"0.00")&amp;" s"</x:f>
        <x:v>29.75 s</x:v>
      </x:c>
      <x:c r="BM14" s="322"/>
      <x:c r="BN14" s="322"/>
      <x:c r="BO14" s="322"/>
      <x:c r="BP14" s="322"/>
      <x:c r="BQ14" s="322"/>
      <x:c r="BR14" s="322"/>
      <x:c r="BS14" s="254"/>
    </x:row>
    <x:row r="15" ht="13.5" customHeight="1">
      <x:c r="A15" s="130"/>
      <x:c r="B15" s="130"/>
      <x:c r="C15" s="130"/>
      <x:c r="D15" s="130"/>
      <x:c r="E15" s="130"/>
      <x:c r="F15" s="130"/>
      <x:c r="G15" s="202" t="str">
        <x:v>◉</x:v>
      </x:c>
      <x:c r="H15" s="202" t="str">
        <x:v>◉</x:v>
      </x:c>
      <x:c r="I15" s="150"/>
      <x:c r="J15" s="408" t="str">
        <x:f>IF(COUNTIF($BF$50:$BF$55,1510)=0,"┆",IF(COUNTIF($BF$50:$BF$55,1510)&gt;1,IF($BF$50=1510,$BE$50,"")&amp;IF($BF$51=1510,$BE$51,"")&amp;IF($BF$52=1510,$BE$52,"")&amp;IF($BF$53=1510,$BE$53,"")&amp;IF($BF$54=1510,$BE$54,"")&amp;IF($BF$55=1510,$BE$55,""),IF($BF$50=1510,$BG$50,"")&amp;IF($BF$51=1510,$BG$51,"")&amp;IF($BF$52=1510,$BG$52,"")&amp;IF($BF$53=1510,$BG$53,"")&amp;IF($BF$54=1510,$BG$54,"")&amp;IF($BF$55=1510,$BG$55,"")))</x:f>
        <x:v>┆</x:v>
      </x:c>
      <x:c r="K15" s="406" t="str">
        <x:f>IF(COUNTIF($BF$50:$BF$55,1511)=0,"30",IF(COUNTIF($BF$50:$BF$55,1511)&gt;1,IF($BF$50=1511,$BE$50,"")&amp;IF($BF$51=1511,$BE$51,"")&amp;IF($BF$52=1511,$BE$52,"")&amp;IF($BF$53=1511,$BE$53,"")&amp;IF($BF$54=1511,$BE$54,"")&amp;IF($BF$55=1511,$BE$55,""),IF($BF$50=1511,$BG$50,"")&amp;IF($BF$51=1511,$BG$51,"")&amp;IF($BF$52=1511,$BG$52,"")&amp;IF($BF$53=1511,$BG$53,"")&amp;IF($BF$54=1511,$BG$54,"")&amp;IF($BF$55=1511,$BG$55,"")))</x:f>
        <x:v>30</x:v>
      </x:c>
      <x:c r="L15" s="149"/>
      <x:c r="M15" s="132"/>
      <x:c r="N15" s="132"/>
      <x:c r="O15" s="132"/>
      <x:c r="P15" s="200" t="str">
        <x:v>◉</x:v>
      </x:c>
      <x:c r="Q15" s="200" t="str">
        <x:v>◉</x:v>
      </x:c>
      <x:c r="R15" s="149"/>
      <x:c r="S15" s="134"/>
      <x:c r="T15" s="134"/>
      <x:c r="U15" s="406" t="str">
        <x:f>IF(COUNTIF($BF$50:$BF$55,1521)=0,"48",IF(COUNTIF($BF$50:$BF$55,1521)&gt;1,IF($BF$50=1521,$BE$50,"")&amp;IF($BF$51=1521,$BE$51,"")&amp;IF($BF$52=1521,$BE$52,"")&amp;IF($BF$53=1521,$BE$53,"")&amp;IF($BF$54=1521,$BE$54,"")&amp;IF($BF$55=1521,$BE$55,""),IF($BF$50=1521,$BG$50,"")&amp;IF($BF$51=1521,$BG$51,"")&amp;IF($BF$52=1521,$BG$52,"")&amp;IF($BF$53=1521,$BG$53,"")&amp;IF($BF$54=1521,$BG$54,"")&amp;IF($BF$55=1521,$BG$55,"")))</x:f>
        <x:v>48</x:v>
      </x:c>
      <x:c r="V15" s="406" t="str">
        <x:f>IF(COUNTIF($BF$50:$BF$55,1522)=0,"49",IF(COUNTIF($BF$50:$BF$55,1522)&gt;1,IF($BF$50=1522,$BE$50,"")&amp;IF($BF$51=1522,$BE$51,"")&amp;IF($BF$52=1522,$BE$52,"")&amp;IF($BF$53=1522,$BE$53,"")&amp;IF($BF$54=1522,$BE$54,"")&amp;IF($BF$55=1522,$BE$55,""),IF($BF$50=1522,$BG$50,"")&amp;IF($BF$51=1522,$BG$51,"")&amp;IF($BF$52=1522,$BG$52,"")&amp;IF($BF$53=1522,$BG$53,"")&amp;IF($BF$54=1522,$BG$54,"")&amp;IF($BF$55=1522,$BG$55,"")))</x:f>
        <x:v>49</x:v>
      </x:c>
      <x:c r="W15" s="406" t="str">
        <x:f>IF(COUNTIF($BF$50:$BF$55,1523)=0,"50",IF(COUNTIF($BF$50:$BF$55,1523)&gt;1,IF($BF$50=1523,$BE$50,"")&amp;IF($BF$51=1523,$BE$51,"")&amp;IF($BF$52=1523,$BE$52,"")&amp;IF($BF$53=1523,$BE$53,"")&amp;IF($BF$54=1523,$BE$54,"")&amp;IF($BF$55=1523,$BE$55,""),IF($BF$50=1523,$BG$50,"")&amp;IF($BF$51=1523,$BG$51,"")&amp;IF($BF$52=1523,$BG$52,"")&amp;IF($BF$53=1523,$BG$53,"")&amp;IF($BF$54=1523,$BG$54,"")&amp;IF($BF$55=1523,$BG$55,"")))</x:f>
        <x:v>50</x:v>
      </x:c>
      <x:c r="X15" s="406" t="str">
        <x:f>IF(COUNTIF($BF$50:$BF$55,1524)=0,"51",IF(COUNTIF($BF$50:$BF$55,1524)&gt;1,IF($BF$50=1524,$BE$50,"")&amp;IF($BF$51=1524,$BE$51,"")&amp;IF($BF$52=1524,$BE$52,"")&amp;IF($BF$53=1524,$BE$53,"")&amp;IF($BF$54=1524,$BE$54,"")&amp;IF($BF$55=1524,$BE$55,""),IF($BF$50=1524,$BG$50,"")&amp;IF($BF$51=1524,$BG$51,"")&amp;IF($BF$52=1524,$BG$52,"")&amp;IF($BF$53=1524,$BG$53,"")&amp;IF($BF$54=1524,$BG$54,"")&amp;IF($BF$55=1524,$BG$55,"")))</x:f>
        <x:v>51</x:v>
      </x:c>
      <x:c r="Y15" s="406" t="str">
        <x:f>IF(COUNTIF($BF$50:$BF$55,1525)=0,"52",IF(COUNTIF($BF$50:$BF$55,1525)&gt;1,IF($BF$50=1525,$BE$50,"")&amp;IF($BF$51=1525,$BE$51,"")&amp;IF($BF$52=1525,$BE$52,"")&amp;IF($BF$53=1525,$BE$53,"")&amp;IF($BF$54=1525,$BE$54,"")&amp;IF($BF$55=1525,$BE$55,""),IF($BF$50=1525,$BG$50,"")&amp;IF($BF$51=1525,$BG$51,"")&amp;IF($BF$52=1525,$BG$52,"")&amp;IF($BF$53=1525,$BG$53,"")&amp;IF($BF$54=1525,$BG$54,"")&amp;IF($BF$55=1525,$BG$55,"")))</x:f>
        <x:v>52</x:v>
      </x:c>
      <x:c r="Z15" s="406" t="str">
        <x:f>IF(COUNTIF($BF$50:$BF$55,1526)=0,"53",IF(COUNTIF($BF$50:$BF$55,1526)&gt;1,IF($BF$50=1526,$BE$50,"")&amp;IF($BF$51=1526,$BE$51,"")&amp;IF($BF$52=1526,$BE$52,"")&amp;IF($BF$53=1526,$BE$53,"")&amp;IF($BF$54=1526,$BE$54,"")&amp;IF($BF$55=1526,$BE$55,""),IF($BF$50=1526,$BG$50,"")&amp;IF($BF$51=1526,$BG$51,"")&amp;IF($BF$52=1526,$BG$52,"")&amp;IF($BF$53=1526,$BG$53,"")&amp;IF($BF$54=1526,$BG$54,"")&amp;IF($BF$55=1526,$BG$55,"")))</x:f>
        <x:v>53</x:v>
      </x:c>
      <x:c r="AA15" s="406" t="str">
        <x:f>IF(COUNTIF($BF$50:$BF$55,1527)=0,"54",IF(COUNTIF($BF$50:$BF$55,1527)&gt;1,IF($BF$50=1527,$BE$50,"")&amp;IF($BF$51=1527,$BE$51,"")&amp;IF($BF$52=1527,$BE$52,"")&amp;IF($BF$53=1527,$BE$53,"")&amp;IF($BF$54=1527,$BE$54,"")&amp;IF($BF$55=1527,$BE$55,""),IF($BF$50=1527,$BG$50,"")&amp;IF($BF$51=1527,$BG$51,"")&amp;IF($BF$52=1527,$BG$52,"")&amp;IF($BF$53=1527,$BG$53,"")&amp;IF($BF$54=1527,$BG$54,"")&amp;IF($BF$55=1527,$BG$55,"")))</x:f>
        <x:v>54</x:v>
      </x:c>
      <x:c r="AB15" s="406" t="str">
        <x:f>IF(COUNTIF($BF$50:$BF$55,1528)=0,"55",IF(COUNTIF($BF$50:$BF$55,1528)&gt;1,IF($BF$50=1528,$BE$50,"")&amp;IF($BF$51=1528,$BE$51,"")&amp;IF($BF$52=1528,$BE$52,"")&amp;IF($BF$53=1528,$BE$53,"")&amp;IF($BF$54=1528,$BE$54,"")&amp;IF($BF$55=1528,$BE$55,""),IF($BF$50=1528,$BG$50,"")&amp;IF($BF$51=1528,$BG$51,"")&amp;IF($BF$52=1528,$BG$52,"")&amp;IF($BF$53=1528,$BG$53,"")&amp;IF($BF$54=1528,$BG$54,"")&amp;IF($BF$55=1528,$BG$55,"")))</x:f>
        <x:v>55</x:v>
      </x:c>
      <x:c r="AC15" s="406" t="str">
        <x:f>IF(COUNTIF($BF$50:$BF$55,1529)=0,"56",IF(COUNTIF($BF$50:$BF$55,1529)&gt;1,IF($BF$50=1529,$BE$50,"")&amp;IF($BF$51=1529,$BE$51,"")&amp;IF($BF$52=1529,$BE$52,"")&amp;IF($BF$53=1529,$BE$53,"")&amp;IF($BF$54=1529,$BE$54,"")&amp;IF($BF$55=1529,$BE$55,""),IF($BF$50=1529,$BG$50,"")&amp;IF($BF$51=1529,$BG$51,"")&amp;IF($BF$52=1529,$BG$52,"")&amp;IF($BF$53=1529,$BG$53,"")&amp;IF($BF$54=1529,$BG$54,"")&amp;IF($BF$55=1529,$BG$55,"")))</x:f>
        <x:v>56</x:v>
      </x:c>
      <x:c r="AD15" s="406" t="str">
        <x:f>IF(COUNTIF($BF$50:$BF$55,1530)=0,"57",IF(COUNTIF($BF$50:$BF$55,1530)&gt;1,IF($BF$50=1530,$BE$50,"")&amp;IF($BF$51=1530,$BE$51,"")&amp;IF($BF$52=1530,$BE$52,"")&amp;IF($BF$53=1530,$BE$53,"")&amp;IF($BF$54=1530,$BE$54,"")&amp;IF($BF$55=1530,$BE$55,""),IF($BF$50=1530,$BG$50,"")&amp;IF($BF$51=1530,$BG$51,"")&amp;IF($BF$52=1530,$BG$52,"")&amp;IF($BF$53=1530,$BG$53,"")&amp;IF($BF$54=1530,$BG$54,"")&amp;IF($BF$55=1530,$BG$55,"")))</x:f>
        <x:v>57</x:v>
      </x:c>
      <x:c r="AE15" s="406" t="str">
        <x:f>IF(COUNTIF($BF$50:$BF$55,1531)=0,"58",IF(COUNTIF($BF$50:$BF$55,1531)&gt;1,IF($BF$50=1531,$BE$50,"")&amp;IF($BF$51=1531,$BE$51,"")&amp;IF($BF$52=1531,$BE$52,"")&amp;IF($BF$53=1531,$BE$53,"")&amp;IF($BF$54=1531,$BE$54,"")&amp;IF($BF$55=1531,$BE$55,""),IF($BF$50=1531,$BG$50,"")&amp;IF($BF$51=1531,$BG$51,"")&amp;IF($BF$52=1531,$BG$52,"")&amp;IF($BF$53=1531,$BG$53,"")&amp;IF($BF$54=1531,$BG$54,"")&amp;IF($BF$55=1531,$BG$55,"")))</x:f>
        <x:v>58</x:v>
      </x:c>
      <x:c r="AF15" s="406" t="str">
        <x:f>IF(COUNTIF($BF$50:$BF$55,1532)=0,"59",IF(COUNTIF($BF$50:$BF$55,1532)&gt;1,IF($BF$50=1532,$BE$50,"")&amp;IF($BF$51=1532,$BE$51,"")&amp;IF($BF$52=1532,$BE$52,"")&amp;IF($BF$53=1532,$BE$53,"")&amp;IF($BF$54=1532,$BE$54,"")&amp;IF($BF$55=1532,$BE$55,""),IF($BF$50=1532,$BG$50,"")&amp;IF($BF$51=1532,$BG$51,"")&amp;IF($BF$52=1532,$BG$52,"")&amp;IF($BF$53=1532,$BG$53,"")&amp;IF($BF$54=1532,$BG$54,"")&amp;IF($BF$55=1532,$BG$55,"")))</x:f>
        <x:v>59</x:v>
      </x:c>
      <x:c r="AG15" s="406" t="str">
        <x:f>IF(COUNTIF($BF$50:$BF$55,1533)=0,"60",IF(COUNTIF($BF$50:$BF$55,1533)&gt;1,IF($BF$50=1533,$BE$50,"")&amp;IF($BF$51=1533,$BE$51,"")&amp;IF($BF$52=1533,$BE$52,"")&amp;IF($BF$53=1533,$BE$53,"")&amp;IF($BF$54=1533,$BE$54,"")&amp;IF($BF$55=1533,$BE$55,""),IF($BF$50=1533,$BG$50,"")&amp;IF($BF$51=1533,$BG$51,"")&amp;IF($BF$52=1533,$BG$52,"")&amp;IF($BF$53=1533,$BG$53,"")&amp;IF($BF$54=1533,$BG$54,"")&amp;IF($BF$55=1533,$BG$55,"")))</x:f>
        <x:v>60</x:v>
      </x:c>
      <x:c r="AH15" s="406" t="str">
        <x:f>IF(COUNTIF($BF$50:$BF$55,1534)=0,"61",IF(COUNTIF($BF$50:$BF$55,1534)&gt;1,IF($BF$50=1534,$BE$50,"")&amp;IF($BF$51=1534,$BE$51,"")&amp;IF($BF$52=1534,$BE$52,"")&amp;IF($BF$53=1534,$BE$53,"")&amp;IF($BF$54=1534,$BE$54,"")&amp;IF($BF$55=1534,$BE$55,""),IF($BF$50=1534,$BG$50,"")&amp;IF($BF$51=1534,$BG$51,"")&amp;IF($BF$52=1534,$BG$52,"")&amp;IF($BF$53=1534,$BG$53,"")&amp;IF($BF$54=1534,$BG$54,"")&amp;IF($BF$55=1534,$BG$55,"")))</x:f>
        <x:v>61</x:v>
      </x:c>
      <x:c r="AI15" s="406" t="str">
        <x:f>IF(COUNTIF($BF$50:$BF$55,1535)=0,"62",IF(COUNTIF($BF$50:$BF$55,1535)&gt;1,IF($BF$50=1535,$BE$50,"")&amp;IF($BF$51=1535,$BE$51,"")&amp;IF($BF$52=1535,$BE$52,"")&amp;IF($BF$53=1535,$BE$53,"")&amp;IF($BF$54=1535,$BE$54,"")&amp;IF($BF$55=1535,$BE$55,""),IF($BF$50=1535,$BG$50,"")&amp;IF($BF$51=1535,$BG$51,"")&amp;IF($BF$52=1535,$BG$52,"")&amp;IF($BF$53=1535,$BG$53,"")&amp;IF($BF$54=1535,$BG$54,"")&amp;IF($BF$55=1535,$BG$55,"")))</x:f>
        <x:v>62</x:v>
      </x:c>
      <x:c r="AJ15" s="406" t="str">
        <x:f>IF(COUNTIF($BF$50:$BF$55,1536)=0,"63",IF(COUNTIF($BF$50:$BF$55,1536)&gt;1,IF($BF$50=1536,$BE$50,"")&amp;IF($BF$51=1536,$BE$51,"")&amp;IF($BF$52=1536,$BE$52,"")&amp;IF($BF$53=1536,$BE$53,"")&amp;IF($BF$54=1536,$BE$54,"")&amp;IF($BF$55=1536,$BE$55,""),IF($BF$50=1536,$BG$50,"")&amp;IF($BF$51=1536,$BG$51,"")&amp;IF($BF$52=1536,$BG$52,"")&amp;IF($BF$53=1536,$BG$53,"")&amp;IF($BF$54=1536,$BG$54,"")&amp;IF($BF$55=1536,$BG$55,"")))</x:f>
        <x:v>63</x:v>
      </x:c>
      <x:c r="AK15" s="406" t="str">
        <x:f>IF(COUNTIF($BF$50:$BF$55,1537)=0,"64",IF(COUNTIF($BF$50:$BF$55,1537)&gt;1,IF($BF$50=1537,$BE$50,"")&amp;IF($BF$51=1537,$BE$51,"")&amp;IF($BF$52=1537,$BE$52,"")&amp;IF($BF$53=1537,$BE$53,"")&amp;IF($BF$54=1537,$BE$54,"")&amp;IF($BF$55=1537,$BE$55,""),IF($BF$50=1537,$BG$50,"")&amp;IF($BF$51=1537,$BG$51,"")&amp;IF($BF$52=1537,$BG$52,"")&amp;IF($BF$53=1537,$BG$53,"")&amp;IF($BF$54=1537,$BG$54,"")&amp;IF($BF$55=1537,$BG$55,"")))</x:f>
        <x:v>64</x:v>
      </x:c>
      <x:c r="AL15" s="406" t="str">
        <x:f>IF(COUNTIF($BF$50:$BF$55,1538)=0,"65",IF(COUNTIF($BF$50:$BF$55,1538)&gt;1,IF($BF$50=1538,$BE$50,"")&amp;IF($BF$51=1538,$BE$51,"")&amp;IF($BF$52=1538,$BE$52,"")&amp;IF($BF$53=1538,$BE$53,"")&amp;IF($BF$54=1538,$BE$54,"")&amp;IF($BF$55=1538,$BE$55,""),IF($BF$50=1538,$BG$50,"")&amp;IF($BF$51=1538,$BG$51,"")&amp;IF($BF$52=1538,$BG$52,"")&amp;IF($BF$53=1538,$BG$53,"")&amp;IF($BF$54=1538,$BG$54,"")&amp;IF($BF$55=1538,$BG$55,"")))</x:f>
        <x:v>65</x:v>
      </x:c>
      <x:c r="AM15" s="406" t="str">
        <x:f>IF(COUNTIF($BF$50:$BF$55,1539)=0,"66",IF(COUNTIF($BF$50:$BF$55,1539)&gt;1,IF($BF$50=1539,$BE$50,"")&amp;IF($BF$51=1539,$BE$51,"")&amp;IF($BF$52=1539,$BE$52,"")&amp;IF($BF$53=1539,$BE$53,"")&amp;IF($BF$54=1539,$BE$54,"")&amp;IF($BF$55=1539,$BE$55,""),IF($BF$50=1539,$BG$50,"")&amp;IF($BF$51=1539,$BG$51,"")&amp;IF($BF$52=1539,$BG$52,"")&amp;IF($BF$53=1539,$BG$53,"")&amp;IF($BF$54=1539,$BG$54,"")&amp;IF($BF$55=1539,$BG$55,"")))</x:f>
        <x:v>66</x:v>
      </x:c>
      <x:c r="AN15" s="406" t="str">
        <x:f>IF(COUNTIF($BF$50:$BF$55,1540)=0,"67",IF(COUNTIF($BF$50:$BF$55,1540)&gt;1,IF($BF$50=1540,$BE$50,"")&amp;IF($BF$51=1540,$BE$51,"")&amp;IF($BF$52=1540,$BE$52,"")&amp;IF($BF$53=1540,$BE$53,"")&amp;IF($BF$54=1540,$BE$54,"")&amp;IF($BF$55=1540,$BE$55,""),IF($BF$50=1540,$BG$50,"")&amp;IF($BF$51=1540,$BG$51,"")&amp;IF($BF$52=1540,$BG$52,"")&amp;IF($BF$53=1540,$BG$53,"")&amp;IF($BF$54=1540,$BG$54,"")&amp;IF($BF$55=1540,$BG$55,"")))</x:f>
        <x:v>67</x:v>
      </x:c>
      <x:c r="AO15" s="406" t="str">
        <x:f>IF(COUNTIF($BF$50:$BF$55,1541)=0,"68",IF(COUNTIF($BF$50:$BF$55,1541)&gt;1,IF($BF$50=1541,$BE$50,"")&amp;IF($BF$51=1541,$BE$51,"")&amp;IF($BF$52=1541,$BE$52,"")&amp;IF($BF$53=1541,$BE$53,"")&amp;IF($BF$54=1541,$BE$54,"")&amp;IF($BF$55=1541,$BE$55,""),IF($BF$50=1541,$BG$50,"")&amp;IF($BF$51=1541,$BG$51,"")&amp;IF($BF$52=1541,$BG$52,"")&amp;IF($BF$53=1541,$BG$53,"")&amp;IF($BF$54=1541,$BG$54,"")&amp;IF($BF$55=1541,$BG$55,"")))</x:f>
        <x:v>68</x:v>
      </x:c>
      <x:c r="AP15" s="406" t="str">
        <x:f>IF(COUNTIF($BF$50:$BF$55,1542)=0,"69",IF(COUNTIF($BF$50:$BF$55,1542)&gt;1,IF($BF$50=1542,$BE$50,"")&amp;IF($BF$51=1542,$BE$51,"")&amp;IF($BF$52=1542,$BE$52,"")&amp;IF($BF$53=1542,$BE$53,"")&amp;IF($BF$54=1542,$BE$54,"")&amp;IF($BF$55=1542,$BE$55,""),IF($BF$50=1542,$BG$50,"")&amp;IF($BF$51=1542,$BG$51,"")&amp;IF($BF$52=1542,$BG$52,"")&amp;IF($BF$53=1542,$BG$53,"")&amp;IF($BF$54=1542,$BG$54,"")&amp;IF($BF$55=1542,$BG$55,"")))</x:f>
        <x:v>69</x:v>
      </x:c>
      <x:c r="AQ15" s="406" t="str">
        <x:f>IF(COUNTIF($BF$50:$BF$55,1543)=0,"70",IF(COUNTIF($BF$50:$BF$55,1543)&gt;1,IF($BF$50=1543,$BE$50,"")&amp;IF($BF$51=1543,$BE$51,"")&amp;IF($BF$52=1543,$BE$52,"")&amp;IF($BF$53=1543,$BE$53,"")&amp;IF($BF$54=1543,$BE$54,"")&amp;IF($BF$55=1543,$BE$55,""),IF($BF$50=1543,$BG$50,"")&amp;IF($BF$51=1543,$BG$51,"")&amp;IF($BF$52=1543,$BG$52,"")&amp;IF($BF$53=1543,$BG$53,"")&amp;IF($BF$54=1543,$BG$54,"")&amp;IF($BF$55=1543,$BG$55,"")))</x:f>
        <x:v>70</x:v>
      </x:c>
      <x:c r="AR15" s="406" t="str">
        <x:f>IF(COUNTIF($BF$50:$BF$55,1544)=0,"71",IF(COUNTIF($BF$50:$BF$55,1544)&gt;1,IF($BF$50=1544,$BE$50,"")&amp;IF($BF$51=1544,$BE$51,"")&amp;IF($BF$52=1544,$BE$52,"")&amp;IF($BF$53=1544,$BE$53,"")&amp;IF($BF$54=1544,$BE$54,"")&amp;IF($BF$55=1544,$BE$55,""),IF($BF$50=1544,$BG$50,"")&amp;IF($BF$51=1544,$BG$51,"")&amp;IF($BF$52=1544,$BG$52,"")&amp;IF($BF$53=1544,$BG$53,"")&amp;IF($BF$54=1544,$BG$54,"")&amp;IF($BF$55=1544,$BG$55,"")))</x:f>
        <x:v>71</x:v>
      </x:c>
      <x:c r="AS15" s="134"/>
      <x:c r="AT15" s="168" t="str">
        <x:v>┆</x:v>
      </x:c>
      <x:c r="AU15" s="150"/>
      <x:c r="AV15" s="132"/>
      <x:c r="AW15" s="150"/>
      <x:c r="AX15" s="134"/>
      <x:c r="AY15" s="406" t="str">
        <x:f>IF(COUNTIF($BF$50:$BF$55,1551)=0,"86",IF(COUNTIF($BF$50:$BF$55,1551)&gt;1,IF($BF$50=1551,$BE$50,"")&amp;IF($BF$51=1551,$BE$51,"")&amp;IF($BF$52=1551,$BE$52,"")&amp;IF($BF$53=1551,$BE$53,"")&amp;IF($BF$54=1551,$BE$54,"")&amp;IF($BF$55=1551,$BE$55,""),IF($BF$50=1551,$BG$50,"")&amp;IF($BF$51=1551,$BG$51,"")&amp;IF($BF$52=1551,$BG$52,"")&amp;IF($BF$53=1551,$BG$53,"")&amp;IF($BF$54=1551,$BG$54,"")&amp;IF($BF$55=1551,$BG$55,"")))</x:f>
        <x:v>86</x:v>
      </x:c>
      <x:c r="AZ15" s="408" t="str">
        <x:f>IF(COUNTIF($BF$50:$BF$55,1552)=0,"┆",IF(COUNTIF($BF$50:$BF$55,1552)&gt;1,IF($BF$50=1552,$BE$50,"")&amp;IF($BF$51=1552,$BE$51,"")&amp;IF($BF$52=1552,$BE$52,"")&amp;IF($BF$53=1552,$BE$53,"")&amp;IF($BF$54=1552,$BE$54,"")&amp;IF($BF$55=1552,$BE$55,""),IF($BF$50=1552,$BG$50,"")&amp;IF($BF$51=1552,$BG$51,"")&amp;IF($BF$52=1552,$BG$52,"")&amp;IF($BF$53=1552,$BG$53,"")&amp;IF($BF$54=1552,$BG$54,"")&amp;IF($BF$55=1552,$BG$55,"")))</x:f>
        <x:v>┆</x:v>
      </x:c>
      <x:c r="BA15" s="150"/>
      <x:c r="BB15" s="202" t="str">
        <x:v>◉</x:v>
      </x:c>
      <x:c r="BC15" s="202" t="str">
        <x:v>◉</x:v>
      </x:c>
      <x:c r="BD15" s="109"/>
      <x:c r="BE15" s="253"/>
      <x:c r="BF15" s="320" t="str">
        <x:v>领先进度</x:v>
      </x:c>
      <x:c r="BG15" s="320"/>
      <x:c r="BH15" s="320"/>
      <x:c r="BI15" s="320"/>
      <x:c r="BJ15" s="320"/>
      <x:c r="BK15" s="320"/>
      <x:c r="BL15" s="322" t="str">
        <x:f>TEXT(MAX(Live!$M$8:$M$13),"0.0%")</x:f>
        <x:v>62.8%</x:v>
      </x:c>
      <x:c r="BM15" s="322"/>
      <x:c r="BN15" s="322"/>
      <x:c r="BO15" s="322"/>
      <x:c r="BP15" s="322"/>
      <x:c r="BQ15" s="322"/>
      <x:c r="BR15" s="322"/>
      <x:c r="BS15" s="254"/>
    </x:row>
    <x:row r="16" ht="13.5" customHeight="1">
      <x:c r="A16" s="130"/>
      <x:c r="B16" s="130"/>
      <x:c r="C16" s="130"/>
      <x:c r="D16" s="130"/>
      <x:c r="E16" s="130"/>
      <x:c r="F16" s="130"/>
      <x:c r="G16" s="202" t="str">
        <x:v>◉</x:v>
      </x:c>
      <x:c r="H16" s="202" t="str">
        <x:v>◉</x:v>
      </x:c>
      <x:c r="I16" s="149"/>
      <x:c r="J16" s="408" t="str">
        <x:f>IF(COUNTIF($BF$50:$BF$55,1610)=0,"┆",IF(COUNTIF($BF$50:$BF$55,1610)&gt;1,IF($BF$50=1610,$BE$50,"")&amp;IF($BF$51=1610,$BE$51,"")&amp;IF($BF$52=1610,$BE$52,"")&amp;IF($BF$53=1610,$BE$53,"")&amp;IF($BF$54=1610,$BE$54,"")&amp;IF($BF$55=1610,$BE$55,""),IF($BF$50=1610,$BG$50,"")&amp;IF($BF$51=1610,$BG$51,"")&amp;IF($BF$52=1610,$BG$52,"")&amp;IF($BF$53=1610,$BG$53,"")&amp;IF($BF$54=1610,$BG$54,"")&amp;IF($BF$55=1610,$BG$55,"")))</x:f>
        <x:v>┆</x:v>
      </x:c>
      <x:c r="K16" s="406" t="str">
        <x:f>IF(COUNTIF($BF$50:$BF$55,1611)=0,"29",IF(COUNTIF($BF$50:$BF$55,1611)&gt;1,IF($BF$50=1611,$BE$50,"")&amp;IF($BF$51=1611,$BE$51,"")&amp;IF($BF$52=1611,$BE$52,"")&amp;IF($BF$53=1611,$BE$53,"")&amp;IF($BF$54=1611,$BE$54,"")&amp;IF($BF$55=1611,$BE$55,""),IF($BF$50=1611,$BG$50,"")&amp;IF($BF$51=1611,$BG$51,"")&amp;IF($BF$52=1611,$BG$52,"")&amp;IF($BF$53=1611,$BG$53,"")&amp;IF($BF$54=1611,$BG$54,"")&amp;IF($BF$55=1611,$BG$55,"")))</x:f>
        <x:v>29</x:v>
      </x:c>
      <x:c r="L16" s="150"/>
      <x:c r="M16" s="132"/>
      <x:c r="N16" s="132"/>
      <x:c r="O16" s="132"/>
      <x:c r="P16" s="200" t="str">
        <x:v>◉</x:v>
      </x:c>
      <x:c r="Q16" s="200" t="str">
        <x:v>◉</x:v>
      </x:c>
      <x:c r="R16" s="150"/>
      <x:c r="S16" s="134"/>
      <x:c r="T16" s="168" t="str">
        <x:v>┄</x:v>
      </x:c>
      <x:c r="U16" s="408" t="str">
        <x:f>IF(COUNTIF($BF$50:$BF$55,1621)=0,"┄",IF(COUNTIF($BF$50:$BF$55,1621)&gt;1,IF($BF$50=1621,$BE$50,"")&amp;IF($BF$51=1621,$BE$51,"")&amp;IF($BF$52=1621,$BE$52,"")&amp;IF($BF$53=1621,$BE$53,"")&amp;IF($BF$54=1621,$BE$54,"")&amp;IF($BF$55=1621,$BE$55,""),IF($BF$50=1621,$BG$50,"")&amp;IF($BF$51=1621,$BG$51,"")&amp;IF($BF$52=1621,$BG$52,"")&amp;IF($BF$53=1621,$BG$53,"")&amp;IF($BF$54=1621,$BG$54,"")&amp;IF($BF$55=1621,$BG$55,"")))</x:f>
        <x:v>┄</x:v>
      </x:c>
      <x:c r="V16" s="408" t="str">
        <x:f>IF(COUNTIF($BF$50:$BF$55,1622)=0,"┄",IF(COUNTIF($BF$50:$BF$55,1622)&gt;1,IF($BF$50=1622,$BE$50,"")&amp;IF($BF$51=1622,$BE$51,"")&amp;IF($BF$52=1622,$BE$52,"")&amp;IF($BF$53=1622,$BE$53,"")&amp;IF($BF$54=1622,$BE$54,"")&amp;IF($BF$55=1622,$BE$55,""),IF($BF$50=1622,$BG$50,"")&amp;IF($BF$51=1622,$BG$51,"")&amp;IF($BF$52=1622,$BG$52,"")&amp;IF($BF$53=1622,$BG$53,"")&amp;IF($BF$54=1622,$BG$54,"")&amp;IF($BF$55=1622,$BG$55,"")))</x:f>
        <x:v>┄</x:v>
      </x:c>
      <x:c r="W16" s="408" t="str">
        <x:f>IF(COUNTIF($BF$50:$BF$55,1623)=0,"┄",IF(COUNTIF($BF$50:$BF$55,1623)&gt;1,IF($BF$50=1623,$BE$50,"")&amp;IF($BF$51=1623,$BE$51,"")&amp;IF($BF$52=1623,$BE$52,"")&amp;IF($BF$53=1623,$BE$53,"")&amp;IF($BF$54=1623,$BE$54,"")&amp;IF($BF$55=1623,$BE$55,""),IF($BF$50=1623,$BG$50,"")&amp;IF($BF$51=1623,$BG$51,"")&amp;IF($BF$52=1623,$BG$52,"")&amp;IF($BF$53=1623,$BG$53,"")&amp;IF($BF$54=1623,$BG$54,"")&amp;IF($BF$55=1623,$BG$55,"")))</x:f>
        <x:v>┄</x:v>
      </x:c>
      <x:c r="X16" s="408" t="str">
        <x:f>IF(COUNTIF($BF$50:$BF$55,1624)=0,"┄",IF(COUNTIF($BF$50:$BF$55,1624)&gt;1,IF($BF$50=1624,$BE$50,"")&amp;IF($BF$51=1624,$BE$51,"")&amp;IF($BF$52=1624,$BE$52,"")&amp;IF($BF$53=1624,$BE$53,"")&amp;IF($BF$54=1624,$BE$54,"")&amp;IF($BF$55=1624,$BE$55,""),IF($BF$50=1624,$BG$50,"")&amp;IF($BF$51=1624,$BG$51,"")&amp;IF($BF$52=1624,$BG$52,"")&amp;IF($BF$53=1624,$BG$53,"")&amp;IF($BF$54=1624,$BG$54,"")&amp;IF($BF$55=1624,$BG$55,"")))</x:f>
        <x:v>┄</x:v>
      </x:c>
      <x:c r="Y16" s="408" t="str">
        <x:f>IF(COUNTIF($BF$50:$BF$55,1625)=0,"┄",IF(COUNTIF($BF$50:$BF$55,1625)&gt;1,IF($BF$50=1625,$BE$50,"")&amp;IF($BF$51=1625,$BE$51,"")&amp;IF($BF$52=1625,$BE$52,"")&amp;IF($BF$53=1625,$BE$53,"")&amp;IF($BF$54=1625,$BE$54,"")&amp;IF($BF$55=1625,$BE$55,""),IF($BF$50=1625,$BG$50,"")&amp;IF($BF$51=1625,$BG$51,"")&amp;IF($BF$52=1625,$BG$52,"")&amp;IF($BF$53=1625,$BG$53,"")&amp;IF($BF$54=1625,$BG$54,"")&amp;IF($BF$55=1625,$BG$55,"")))</x:f>
        <x:v>┄</x:v>
      </x:c>
      <x:c r="Z16" s="408" t="str">
        <x:f>IF(COUNTIF($BF$50:$BF$55,1626)=0,"┄",IF(COUNTIF($BF$50:$BF$55,1626)&gt;1,IF($BF$50=1626,$BE$50,"")&amp;IF($BF$51=1626,$BE$51,"")&amp;IF($BF$52=1626,$BE$52,"")&amp;IF($BF$53=1626,$BE$53,"")&amp;IF($BF$54=1626,$BE$54,"")&amp;IF($BF$55=1626,$BE$55,""),IF($BF$50=1626,$BG$50,"")&amp;IF($BF$51=1626,$BG$51,"")&amp;IF($BF$52=1626,$BG$52,"")&amp;IF($BF$53=1626,$BG$53,"")&amp;IF($BF$54=1626,$BG$54,"")&amp;IF($BF$55=1626,$BG$55,"")))</x:f>
        <x:v>┄</x:v>
      </x:c>
      <x:c r="AA16" s="408" t="str">
        <x:f>IF(COUNTIF($BF$50:$BF$55,1627)=0,"┄",IF(COUNTIF($BF$50:$BF$55,1627)&gt;1,IF($BF$50=1627,$BE$50,"")&amp;IF($BF$51=1627,$BE$51,"")&amp;IF($BF$52=1627,$BE$52,"")&amp;IF($BF$53=1627,$BE$53,"")&amp;IF($BF$54=1627,$BE$54,"")&amp;IF($BF$55=1627,$BE$55,""),IF($BF$50=1627,$BG$50,"")&amp;IF($BF$51=1627,$BG$51,"")&amp;IF($BF$52=1627,$BG$52,"")&amp;IF($BF$53=1627,$BG$53,"")&amp;IF($BF$54=1627,$BG$54,"")&amp;IF($BF$55=1627,$BG$55,"")))</x:f>
        <x:v>┄</x:v>
      </x:c>
      <x:c r="AB16" s="408" t="str">
        <x:f>IF(COUNTIF($BF$50:$BF$55,1628)=0,"┄",IF(COUNTIF($BF$50:$BF$55,1628)&gt;1,IF($BF$50=1628,$BE$50,"")&amp;IF($BF$51=1628,$BE$51,"")&amp;IF($BF$52=1628,$BE$52,"")&amp;IF($BF$53=1628,$BE$53,"")&amp;IF($BF$54=1628,$BE$54,"")&amp;IF($BF$55=1628,$BE$55,""),IF($BF$50=1628,$BG$50,"")&amp;IF($BF$51=1628,$BG$51,"")&amp;IF($BF$52=1628,$BG$52,"")&amp;IF($BF$53=1628,$BG$53,"")&amp;IF($BF$54=1628,$BG$54,"")&amp;IF($BF$55=1628,$BG$55,"")))</x:f>
        <x:v>┄</x:v>
      </x:c>
      <x:c r="AC16" s="408" t="str">
        <x:f>IF(COUNTIF($BF$50:$BF$55,1629)=0,"┄",IF(COUNTIF($BF$50:$BF$55,1629)&gt;1,IF($BF$50=1629,$BE$50,"")&amp;IF($BF$51=1629,$BE$51,"")&amp;IF($BF$52=1629,$BE$52,"")&amp;IF($BF$53=1629,$BE$53,"")&amp;IF($BF$54=1629,$BE$54,"")&amp;IF($BF$55=1629,$BE$55,""),IF($BF$50=1629,$BG$50,"")&amp;IF($BF$51=1629,$BG$51,"")&amp;IF($BF$52=1629,$BG$52,"")&amp;IF($BF$53=1629,$BG$53,"")&amp;IF($BF$54=1629,$BG$54,"")&amp;IF($BF$55=1629,$BG$55,"")))</x:f>
        <x:v>┄</x:v>
      </x:c>
      <x:c r="AD16" s="408" t="str">
        <x:f>IF(COUNTIF($BF$50:$BF$55,1630)=0,"┄",IF(COUNTIF($BF$50:$BF$55,1630)&gt;1,IF($BF$50=1630,$BE$50,"")&amp;IF($BF$51=1630,$BE$51,"")&amp;IF($BF$52=1630,$BE$52,"")&amp;IF($BF$53=1630,$BE$53,"")&amp;IF($BF$54=1630,$BE$54,"")&amp;IF($BF$55=1630,$BE$55,""),IF($BF$50=1630,$BG$50,"")&amp;IF($BF$51=1630,$BG$51,"")&amp;IF($BF$52=1630,$BG$52,"")&amp;IF($BF$53=1630,$BG$53,"")&amp;IF($BF$54=1630,$BG$54,"")&amp;IF($BF$55=1630,$BG$55,"")))</x:f>
        <x:v>┄</x:v>
      </x:c>
      <x:c r="AE16" s="408" t="str">
        <x:f>IF(COUNTIF($BF$50:$BF$55,1631)=0,"┄",IF(COUNTIF($BF$50:$BF$55,1631)&gt;1,IF($BF$50=1631,$BE$50,"")&amp;IF($BF$51=1631,$BE$51,"")&amp;IF($BF$52=1631,$BE$52,"")&amp;IF($BF$53=1631,$BE$53,"")&amp;IF($BF$54=1631,$BE$54,"")&amp;IF($BF$55=1631,$BE$55,""),IF($BF$50=1631,$BG$50,"")&amp;IF($BF$51=1631,$BG$51,"")&amp;IF($BF$52=1631,$BG$52,"")&amp;IF($BF$53=1631,$BG$53,"")&amp;IF($BF$54=1631,$BG$54,"")&amp;IF($BF$55=1631,$BG$55,"")))</x:f>
        <x:v>┄</x:v>
      </x:c>
      <x:c r="AF16" s="408" t="str">
        <x:f>IF(COUNTIF($BF$50:$BF$55,1632)=0,"┄",IF(COUNTIF($BF$50:$BF$55,1632)&gt;1,IF($BF$50=1632,$BE$50,"")&amp;IF($BF$51=1632,$BE$51,"")&amp;IF($BF$52=1632,$BE$52,"")&amp;IF($BF$53=1632,$BE$53,"")&amp;IF($BF$54=1632,$BE$54,"")&amp;IF($BF$55=1632,$BE$55,""),IF($BF$50=1632,$BG$50,"")&amp;IF($BF$51=1632,$BG$51,"")&amp;IF($BF$52=1632,$BG$52,"")&amp;IF($BF$53=1632,$BG$53,"")&amp;IF($BF$54=1632,$BG$54,"")&amp;IF($BF$55=1632,$BG$55,"")))</x:f>
        <x:v>┄</x:v>
      </x:c>
      <x:c r="AG16" s="408" t="str">
        <x:f>IF(COUNTIF($BF$50:$BF$55,1633)=0,"┄",IF(COUNTIF($BF$50:$BF$55,1633)&gt;1,IF($BF$50=1633,$BE$50,"")&amp;IF($BF$51=1633,$BE$51,"")&amp;IF($BF$52=1633,$BE$52,"")&amp;IF($BF$53=1633,$BE$53,"")&amp;IF($BF$54=1633,$BE$54,"")&amp;IF($BF$55=1633,$BE$55,""),IF($BF$50=1633,$BG$50,"")&amp;IF($BF$51=1633,$BG$51,"")&amp;IF($BF$52=1633,$BG$52,"")&amp;IF($BF$53=1633,$BG$53,"")&amp;IF($BF$54=1633,$BG$54,"")&amp;IF($BF$55=1633,$BG$55,"")))</x:f>
        <x:v>┄</x:v>
      </x:c>
      <x:c r="AH16" s="408" t="str">
        <x:f>IF(COUNTIF($BF$50:$BF$55,1634)=0,"┄",IF(COUNTIF($BF$50:$BF$55,1634)&gt;1,IF($BF$50=1634,$BE$50,"")&amp;IF($BF$51=1634,$BE$51,"")&amp;IF($BF$52=1634,$BE$52,"")&amp;IF($BF$53=1634,$BE$53,"")&amp;IF($BF$54=1634,$BE$54,"")&amp;IF($BF$55=1634,$BE$55,""),IF($BF$50=1634,$BG$50,"")&amp;IF($BF$51=1634,$BG$51,"")&amp;IF($BF$52=1634,$BG$52,"")&amp;IF($BF$53=1634,$BG$53,"")&amp;IF($BF$54=1634,$BG$54,"")&amp;IF($BF$55=1634,$BG$55,"")))</x:f>
        <x:v>┄</x:v>
      </x:c>
      <x:c r="AI16" s="408" t="str">
        <x:f>IF(COUNTIF($BF$50:$BF$55,1635)=0,"┄",IF(COUNTIF($BF$50:$BF$55,1635)&gt;1,IF($BF$50=1635,$BE$50,"")&amp;IF($BF$51=1635,$BE$51,"")&amp;IF($BF$52=1635,$BE$52,"")&amp;IF($BF$53=1635,$BE$53,"")&amp;IF($BF$54=1635,$BE$54,"")&amp;IF($BF$55=1635,$BE$55,""),IF($BF$50=1635,$BG$50,"")&amp;IF($BF$51=1635,$BG$51,"")&amp;IF($BF$52=1635,$BG$52,"")&amp;IF($BF$53=1635,$BG$53,"")&amp;IF($BF$54=1635,$BG$54,"")&amp;IF($BF$55=1635,$BG$55,"")))</x:f>
        <x:v>┄</x:v>
      </x:c>
      <x:c r="AJ16" s="408" t="str">
        <x:f>IF(COUNTIF($BF$50:$BF$55,1636)=0,"┄",IF(COUNTIF($BF$50:$BF$55,1636)&gt;1,IF($BF$50=1636,$BE$50,"")&amp;IF($BF$51=1636,$BE$51,"")&amp;IF($BF$52=1636,$BE$52,"")&amp;IF($BF$53=1636,$BE$53,"")&amp;IF($BF$54=1636,$BE$54,"")&amp;IF($BF$55=1636,$BE$55,""),IF($BF$50=1636,$BG$50,"")&amp;IF($BF$51=1636,$BG$51,"")&amp;IF($BF$52=1636,$BG$52,"")&amp;IF($BF$53=1636,$BG$53,"")&amp;IF($BF$54=1636,$BG$54,"")&amp;IF($BF$55=1636,$BG$55,"")))</x:f>
        <x:v>┄</x:v>
      </x:c>
      <x:c r="AK16" s="408" t="str">
        <x:f>IF(COUNTIF($BF$50:$BF$55,1637)=0,"┄",IF(COUNTIF($BF$50:$BF$55,1637)&gt;1,IF($BF$50=1637,$BE$50,"")&amp;IF($BF$51=1637,$BE$51,"")&amp;IF($BF$52=1637,$BE$52,"")&amp;IF($BF$53=1637,$BE$53,"")&amp;IF($BF$54=1637,$BE$54,"")&amp;IF($BF$55=1637,$BE$55,""),IF($BF$50=1637,$BG$50,"")&amp;IF($BF$51=1637,$BG$51,"")&amp;IF($BF$52=1637,$BG$52,"")&amp;IF($BF$53=1637,$BG$53,"")&amp;IF($BF$54=1637,$BG$54,"")&amp;IF($BF$55=1637,$BG$55,"")))</x:f>
        <x:v>┄</x:v>
      </x:c>
      <x:c r="AL16" s="408" t="str">
        <x:f>IF(COUNTIF($BF$50:$BF$55,1638)=0,"┄",IF(COUNTIF($BF$50:$BF$55,1638)&gt;1,IF($BF$50=1638,$BE$50,"")&amp;IF($BF$51=1638,$BE$51,"")&amp;IF($BF$52=1638,$BE$52,"")&amp;IF($BF$53=1638,$BE$53,"")&amp;IF($BF$54=1638,$BE$54,"")&amp;IF($BF$55=1638,$BE$55,""),IF($BF$50=1638,$BG$50,"")&amp;IF($BF$51=1638,$BG$51,"")&amp;IF($BF$52=1638,$BG$52,"")&amp;IF($BF$53=1638,$BG$53,"")&amp;IF($BF$54=1638,$BG$54,"")&amp;IF($BF$55=1638,$BG$55,"")))</x:f>
        <x:v>┄</x:v>
      </x:c>
      <x:c r="AM16" s="408" t="str">
        <x:f>IF(COUNTIF($BF$50:$BF$55,1639)=0,"┄",IF(COUNTIF($BF$50:$BF$55,1639)&gt;1,IF($BF$50=1639,$BE$50,"")&amp;IF($BF$51=1639,$BE$51,"")&amp;IF($BF$52=1639,$BE$52,"")&amp;IF($BF$53=1639,$BE$53,"")&amp;IF($BF$54=1639,$BE$54,"")&amp;IF($BF$55=1639,$BE$55,""),IF($BF$50=1639,$BG$50,"")&amp;IF($BF$51=1639,$BG$51,"")&amp;IF($BF$52=1639,$BG$52,"")&amp;IF($BF$53=1639,$BG$53,"")&amp;IF($BF$54=1639,$BG$54,"")&amp;IF($BF$55=1639,$BG$55,"")))</x:f>
        <x:v>┄</x:v>
      </x:c>
      <x:c r="AN16" s="408" t="str">
        <x:f>IF(COUNTIF($BF$50:$BF$55,1640)=0,"┄",IF(COUNTIF($BF$50:$BF$55,1640)&gt;1,IF($BF$50=1640,$BE$50,"")&amp;IF($BF$51=1640,$BE$51,"")&amp;IF($BF$52=1640,$BE$52,"")&amp;IF($BF$53=1640,$BE$53,"")&amp;IF($BF$54=1640,$BE$54,"")&amp;IF($BF$55=1640,$BE$55,""),IF($BF$50=1640,$BG$50,"")&amp;IF($BF$51=1640,$BG$51,"")&amp;IF($BF$52=1640,$BG$52,"")&amp;IF($BF$53=1640,$BG$53,"")&amp;IF($BF$54=1640,$BG$54,"")&amp;IF($BF$55=1640,$BG$55,"")))</x:f>
        <x:v>┄</x:v>
      </x:c>
      <x:c r="AO16" s="408" t="str">
        <x:f>IF(COUNTIF($BF$50:$BF$55,1641)=0,"┄",IF(COUNTIF($BF$50:$BF$55,1641)&gt;1,IF($BF$50=1641,$BE$50,"")&amp;IF($BF$51=1641,$BE$51,"")&amp;IF($BF$52=1641,$BE$52,"")&amp;IF($BF$53=1641,$BE$53,"")&amp;IF($BF$54=1641,$BE$54,"")&amp;IF($BF$55=1641,$BE$55,""),IF($BF$50=1641,$BG$50,"")&amp;IF($BF$51=1641,$BG$51,"")&amp;IF($BF$52=1641,$BG$52,"")&amp;IF($BF$53=1641,$BG$53,"")&amp;IF($BF$54=1641,$BG$54,"")&amp;IF($BF$55=1641,$BG$55,"")))</x:f>
        <x:v>┄</x:v>
      </x:c>
      <x:c r="AP16" s="408" t="str">
        <x:f>IF(COUNTIF($BF$50:$BF$55,1642)=0,"┄",IF(COUNTIF($BF$50:$BF$55,1642)&gt;1,IF($BF$50=1642,$BE$50,"")&amp;IF($BF$51=1642,$BE$51,"")&amp;IF($BF$52=1642,$BE$52,"")&amp;IF($BF$53=1642,$BE$53,"")&amp;IF($BF$54=1642,$BE$54,"")&amp;IF($BF$55=1642,$BE$55,""),IF($BF$50=1642,$BG$50,"")&amp;IF($BF$51=1642,$BG$51,"")&amp;IF($BF$52=1642,$BG$52,"")&amp;IF($BF$53=1642,$BG$53,"")&amp;IF($BF$54=1642,$BG$54,"")&amp;IF($BF$55=1642,$BG$55,"")))</x:f>
        <x:v>┄</x:v>
      </x:c>
      <x:c r="AQ16" s="408" t="str">
        <x:f>IF(COUNTIF($BF$50:$BF$55,1643)=0,"┄",IF(COUNTIF($BF$50:$BF$55,1643)&gt;1,IF($BF$50=1643,$BE$50,"")&amp;IF($BF$51=1643,$BE$51,"")&amp;IF($BF$52=1643,$BE$52,"")&amp;IF($BF$53=1643,$BE$53,"")&amp;IF($BF$54=1643,$BE$54,"")&amp;IF($BF$55=1643,$BE$55,""),IF($BF$50=1643,$BG$50,"")&amp;IF($BF$51=1643,$BG$51,"")&amp;IF($BF$52=1643,$BG$52,"")&amp;IF($BF$53=1643,$BG$53,"")&amp;IF($BF$54=1643,$BG$54,"")&amp;IF($BF$55=1643,$BG$55,"")))</x:f>
        <x:v>┄</x:v>
      </x:c>
      <x:c r="AR16" s="408" t="str">
        <x:f>IF(COUNTIF($BF$50:$BF$55,1644)=0,"┄",IF(COUNTIF($BF$50:$BF$55,1644)&gt;1,IF($BF$50=1644,$BE$50,"")&amp;IF($BF$51=1644,$BE$51,"")&amp;IF($BF$52=1644,$BE$52,"")&amp;IF($BF$53=1644,$BE$53,"")&amp;IF($BF$54=1644,$BE$54,"")&amp;IF($BF$55=1644,$BE$55,""),IF($BF$50=1644,$BG$50,"")&amp;IF($BF$51=1644,$BG$51,"")&amp;IF($BF$52=1644,$BG$52,"")&amp;IF($BF$53=1644,$BG$53,"")&amp;IF($BF$54=1644,$BG$54,"")&amp;IF($BF$55=1644,$BG$55,"")))</x:f>
        <x:v>┄</x:v>
      </x:c>
      <x:c r="AS16" s="168" t="str">
        <x:v>┄</x:v>
      </x:c>
      <x:c r="AT16" s="134"/>
      <x:c r="AU16" s="149"/>
      <x:c r="AV16" s="132"/>
      <x:c r="AW16" s="149"/>
      <x:c r="AX16" s="134"/>
      <x:c r="AY16" s="406" t="str">
        <x:f>IF(COUNTIF($BF$50:$BF$55,1651)=0,"87",IF(COUNTIF($BF$50:$BF$55,1651)&gt;1,IF($BF$50=1651,$BE$50,"")&amp;IF($BF$51=1651,$BE$51,"")&amp;IF($BF$52=1651,$BE$52,"")&amp;IF($BF$53=1651,$BE$53,"")&amp;IF($BF$54=1651,$BE$54,"")&amp;IF($BF$55=1651,$BE$55,""),IF($BF$50=1651,$BG$50,"")&amp;IF($BF$51=1651,$BG$51,"")&amp;IF($BF$52=1651,$BG$52,"")&amp;IF($BF$53=1651,$BG$53,"")&amp;IF($BF$54=1651,$BG$54,"")&amp;IF($BF$55=1651,$BG$55,"")))</x:f>
        <x:v>87</x:v>
      </x:c>
      <x:c r="AZ16" s="408" t="str">
        <x:f>IF(COUNTIF($BF$50:$BF$55,1652)=0,"┆",IF(COUNTIF($BF$50:$BF$55,1652)&gt;1,IF($BF$50=1652,$BE$50,"")&amp;IF($BF$51=1652,$BE$51,"")&amp;IF($BF$52=1652,$BE$52,"")&amp;IF($BF$53=1652,$BE$53,"")&amp;IF($BF$54=1652,$BE$54,"")&amp;IF($BF$55=1652,$BE$55,""),IF($BF$50=1652,$BG$50,"")&amp;IF($BF$51=1652,$BG$51,"")&amp;IF($BF$52=1652,$BG$52,"")&amp;IF($BF$53=1652,$BG$53,"")&amp;IF($BF$54=1652,$BG$54,"")&amp;IF($BF$55=1652,$BG$55,"")))</x:f>
        <x:v>┆</x:v>
      </x:c>
      <x:c r="BA16" s="149"/>
      <x:c r="BB16" s="202" t="str">
        <x:v>◉</x:v>
      </x:c>
      <x:c r="BC16" s="202" t="str">
        <x:v>◉</x:v>
      </x:c>
      <x:c r="BD16" s="109"/>
      <x:c r="BE16" s="253"/>
      <x:c r="BF16" s="320" t="str">
        <x:v>领先车手</x:v>
      </x:c>
      <x:c r="BG16" s="320"/>
      <x:c r="BH16" s="320"/>
      <x:c r="BI16" s="320"/>
      <x:c r="BJ16" s="320"/>
      <x:c r="BK16" s="320"/>
      <x:c r="BL16" s="322" t="str">
        <x:f>INDEX(Live!$C$8:$C$13,MATCH(1,Live!$P$8:$P$13,0))</x:f>
        <x:v>金翼</x:v>
      </x:c>
      <x:c r="BM16" s="322"/>
      <x:c r="BN16" s="322"/>
      <x:c r="BO16" s="322"/>
      <x:c r="BP16" s="322"/>
      <x:c r="BQ16" s="322"/>
      <x:c r="BR16" s="322"/>
      <x:c r="BS16" s="254"/>
    </x:row>
    <x:row r="17" ht="13.5" customHeight="1">
      <x:c r="A17" s="130"/>
      <x:c r="B17" s="130"/>
      <x:c r="C17" s="130"/>
      <x:c r="D17" s="130"/>
      <x:c r="E17" s="130"/>
      <x:c r="F17" s="130"/>
      <x:c r="G17" s="202" t="str">
        <x:v>◉</x:v>
      </x:c>
      <x:c r="H17" s="202" t="str">
        <x:v>◉</x:v>
      </x:c>
      <x:c r="I17" s="150"/>
      <x:c r="J17" s="408" t="str">
        <x:f>IF(COUNTIF($BF$50:$BF$55,1710)=0,"┆",IF(COUNTIF($BF$50:$BF$55,1710)&gt;1,IF($BF$50=1710,$BE$50,"")&amp;IF($BF$51=1710,$BE$51,"")&amp;IF($BF$52=1710,$BE$52,"")&amp;IF($BF$53=1710,$BE$53,"")&amp;IF($BF$54=1710,$BE$54,"")&amp;IF($BF$55=1710,$BE$55,""),IF($BF$50=1710,$BG$50,"")&amp;IF($BF$51=1710,$BG$51,"")&amp;IF($BF$52=1710,$BG$52,"")&amp;IF($BF$53=1710,$BG$53,"")&amp;IF($BF$54=1710,$BG$54,"")&amp;IF($BF$55=1710,$BG$55,"")))</x:f>
        <x:v>┆</x:v>
      </x:c>
      <x:c r="K17" s="406" t="str">
        <x:f>IF(COUNTIF($BF$50:$BF$55,1711)=0,"28",IF(COUNTIF($BF$50:$BF$55,1711)&gt;1,IF($BF$50=1711,$BE$50,"")&amp;IF($BF$51=1711,$BE$51,"")&amp;IF($BF$52=1711,$BE$52,"")&amp;IF($BF$53=1711,$BE$53,"")&amp;IF($BF$54=1711,$BE$54,"")&amp;IF($BF$55=1711,$BE$55,""),IF($BF$50=1711,$BG$50,"")&amp;IF($BF$51=1711,$BG$51,"")&amp;IF($BF$52=1711,$BG$52,"")&amp;IF($BF$53=1711,$BG$53,"")&amp;IF($BF$54=1711,$BG$54,"")&amp;IF($BF$55=1711,$BG$55,"")))</x:f>
        <x:v>28</x:v>
      </x:c>
      <x:c r="L17" s="149"/>
      <x:c r="M17" s="132"/>
      <x:c r="N17" s="132"/>
      <x:c r="O17" s="132"/>
      <x:c r="P17" s="200" t="str">
        <x:v>◉</x:v>
      </x:c>
      <x:c r="Q17" s="200" t="str">
        <x:v>◉</x:v>
      </x:c>
      <x:c r="R17" s="156"/>
      <x:c r="S17" s="142"/>
      <x:c r="T17" s="141"/>
      <x:c r="U17" s="142"/>
      <x:c r="V17" s="141"/>
      <x:c r="W17" s="142"/>
      <x:c r="X17" s="141"/>
      <x:c r="Y17" s="142"/>
      <x:c r="Z17" s="141"/>
      <x:c r="AA17" s="142"/>
      <x:c r="AB17" s="141"/>
      <x:c r="AC17" s="142"/>
      <x:c r="AD17" s="141"/>
      <x:c r="AE17" s="142"/>
      <x:c r="AF17" s="141"/>
      <x:c r="AG17" s="142"/>
      <x:c r="AH17" s="141"/>
      <x:c r="AI17" s="142"/>
      <x:c r="AJ17" s="141"/>
      <x:c r="AK17" s="142"/>
      <x:c r="AL17" s="141"/>
      <x:c r="AM17" s="142"/>
      <x:c r="AN17" s="141"/>
      <x:c r="AO17" s="142"/>
      <x:c r="AP17" s="141"/>
      <x:c r="AQ17" s="142"/>
      <x:c r="AR17" s="141"/>
      <x:c r="AS17" s="142"/>
      <x:c r="AT17" s="141"/>
      <x:c r="AU17" s="148"/>
      <x:c r="AV17" s="132"/>
      <x:c r="AW17" s="150"/>
      <x:c r="AX17" s="134"/>
      <x:c r="AY17" s="406" t="str">
        <x:f>IF(COUNTIF($BF$50:$BF$55,1751)=0,"88",IF(COUNTIF($BF$50:$BF$55,1751)&gt;1,IF($BF$50=1751,$BE$50,"")&amp;IF($BF$51=1751,$BE$51,"")&amp;IF($BF$52=1751,$BE$52,"")&amp;IF($BF$53=1751,$BE$53,"")&amp;IF($BF$54=1751,$BE$54,"")&amp;IF($BF$55=1751,$BE$55,""),IF($BF$50=1751,$BG$50,"")&amp;IF($BF$51=1751,$BG$51,"")&amp;IF($BF$52=1751,$BG$52,"")&amp;IF($BF$53=1751,$BG$53,"")&amp;IF($BF$54=1751,$BG$54,"")&amp;IF($BF$55=1751,$BG$55,"")))</x:f>
        <x:v>88</x:v>
      </x:c>
      <x:c r="AZ17" s="408" t="str">
        <x:f>IF(COUNTIF($BF$50:$BF$55,1752)=0,"┆",IF(COUNTIF($BF$50:$BF$55,1752)&gt;1,IF($BF$50=1752,$BE$50,"")&amp;IF($BF$51=1752,$BE$51,"")&amp;IF($BF$52=1752,$BE$52,"")&amp;IF($BF$53=1752,$BE$53,"")&amp;IF($BF$54=1752,$BE$54,"")&amp;IF($BF$55=1752,$BE$55,""),IF($BF$50=1752,$BG$50,"")&amp;IF($BF$51=1752,$BG$51,"")&amp;IF($BF$52=1752,$BG$52,"")&amp;IF($BF$53=1752,$BG$53,"")&amp;IF($BF$54=1752,$BG$54,"")&amp;IF($BF$55=1752,$BG$55,"")))</x:f>
        <x:v>┆</x:v>
      </x:c>
      <x:c r="BA17" s="150"/>
      <x:c r="BB17" s="202" t="str">
        <x:v>◉</x:v>
      </x:c>
      <x:c r="BC17" s="202" t="str">
        <x:v>◉</x:v>
      </x:c>
      <x:c r="BD17" s="109"/>
      <x:c r="BE17" s="253"/>
      <x:c r="BF17" s="248"/>
      <x:c r="BG17" s="248"/>
      <x:c r="BH17" s="248"/>
      <x:c r="BI17" s="248"/>
      <x:c r="BJ17" s="248"/>
      <x:c r="BK17" s="248"/>
      <x:c r="BL17" s="248"/>
      <x:c r="BM17" s="248"/>
      <x:c r="BN17" s="248"/>
      <x:c r="BO17" s="248"/>
      <x:c r="BP17" s="248"/>
      <x:c r="BQ17" s="248"/>
      <x:c r="BR17" s="248"/>
      <x:c r="BS17" s="254"/>
    </x:row>
    <x:row r="18" ht="13.5" customHeight="1">
      <x:c r="A18" s="130"/>
      <x:c r="B18" s="202" t="str">
        <x:v>◉</x:v>
      </x:c>
      <x:c r="C18" s="202" t="str">
        <x:v>◉</x:v>
      </x:c>
      <x:c r="D18" s="202" t="str">
        <x:v>◉</x:v>
      </x:c>
      <x:c r="E18" s="202" t="str">
        <x:v>◉</x:v>
      </x:c>
      <x:c r="F18" s="202" t="str">
        <x:v>◉</x:v>
      </x:c>
      <x:c r="G18" s="202" t="str">
        <x:v>◉</x:v>
      </x:c>
      <x:c r="H18" s="202" t="str">
        <x:v>◉</x:v>
      </x:c>
      <x:c r="I18" s="149"/>
      <x:c r="J18" s="408" t="str">
        <x:f>IF(COUNTIF($BF$50:$BF$55,1810)=0,"┆",IF(COUNTIF($BF$50:$BF$55,1810)&gt;1,IF($BF$50=1810,$BE$50,"")&amp;IF($BF$51=1810,$BE$51,"")&amp;IF($BF$52=1810,$BE$52,"")&amp;IF($BF$53=1810,$BE$53,"")&amp;IF($BF$54=1810,$BE$54,"")&amp;IF($BF$55=1810,$BE$55,""),IF($BF$50=1810,$BG$50,"")&amp;IF($BF$51=1810,$BG$51,"")&amp;IF($BF$52=1810,$BG$52,"")&amp;IF($BF$53=1810,$BG$53,"")&amp;IF($BF$54=1810,$BG$54,"")&amp;IF($BF$55=1810,$BG$55,"")))</x:f>
        <x:v>┆</x:v>
      </x:c>
      <x:c r="K18" s="406" t="str">
        <x:f>IF(COUNTIF($BF$50:$BF$55,1811)=0,"27",IF(COUNTIF($BF$50:$BF$55,1811)&gt;1,IF($BF$50=1811,$BE$50,"")&amp;IF($BF$51=1811,$BE$51,"")&amp;IF($BF$52=1811,$BE$52,"")&amp;IF($BF$53=1811,$BE$53,"")&amp;IF($BF$54=1811,$BE$54,"")&amp;IF($BF$55=1811,$BE$55,""),IF($BF$50=1811,$BG$50,"")&amp;IF($BF$51=1811,$BG$51,"")&amp;IF($BF$52=1811,$BG$52,"")&amp;IF($BF$53=1811,$BG$53,"")&amp;IF($BF$54=1811,$BG$54,"")&amp;IF($BF$55=1811,$BG$55,"")))</x:f>
        <x:v>27</x:v>
      </x:c>
      <x:c r="L18" s="150"/>
      <x:c r="M18" s="132"/>
      <x:c r="N18" s="132"/>
      <x:c r="O18" s="132"/>
      <x:c r="P18" s="200" t="str">
        <x:v>◉</x:v>
      </x:c>
      <x:c r="Q18" s="200" t="str">
        <x:v>◉</x:v>
      </x:c>
      <x:c r="R18" s="200" t="str">
        <x:v>◉</x:v>
      </x:c>
      <x:c r="S18" s="200" t="str">
        <x:v>◉</x:v>
      </x:c>
      <x:c r="T18" s="200" t="str">
        <x:v>◉</x:v>
      </x:c>
      <x:c r="U18" s="200" t="str">
        <x:v>◉</x:v>
      </x:c>
      <x:c r="V18" s="200" t="str">
        <x:v>◉</x:v>
      </x:c>
      <x:c r="W18" s="200" t="str">
        <x:v>◉</x:v>
      </x:c>
      <x:c r="X18" s="200" t="str">
        <x:v>◉</x:v>
      </x:c>
      <x:c r="Y18" s="200" t="str">
        <x:v>◉</x:v>
      </x:c>
      <x:c r="Z18" s="200" t="str">
        <x:v>◉</x:v>
      </x:c>
      <x:c r="AA18" s="200" t="str">
        <x:v>◉</x:v>
      </x:c>
      <x:c r="AB18" s="200" t="str">
        <x:v>◉</x:v>
      </x:c>
      <x:c r="AC18" s="200" t="str">
        <x:v>◉</x:v>
      </x:c>
      <x:c r="AD18" s="200" t="str">
        <x:v>◉</x:v>
      </x:c>
      <x:c r="AE18" s="200" t="str">
        <x:v>◉</x:v>
      </x:c>
      <x:c r="AF18" s="200" t="str">
        <x:v>◉</x:v>
      </x:c>
      <x:c r="AG18" s="200" t="str">
        <x:v>◉</x:v>
      </x:c>
      <x:c r="AH18" s="200" t="str">
        <x:v>◉</x:v>
      </x:c>
      <x:c r="AI18" s="200" t="str">
        <x:v>◉</x:v>
      </x:c>
      <x:c r="AJ18" s="200" t="str">
        <x:v>◉</x:v>
      </x:c>
      <x:c r="AK18" s="200" t="str">
        <x:v>◉</x:v>
      </x:c>
      <x:c r="AL18" s="200" t="str">
        <x:v>◉</x:v>
      </x:c>
      <x:c r="AM18" s="200" t="str">
        <x:v>◉</x:v>
      </x:c>
      <x:c r="AN18" s="200" t="str">
        <x:v>◉</x:v>
      </x:c>
      <x:c r="AO18" s="200" t="str">
        <x:v>◉</x:v>
      </x:c>
      <x:c r="AP18" s="200" t="str">
        <x:v>◉</x:v>
      </x:c>
      <x:c r="AQ18" s="200" t="str">
        <x:v>◉</x:v>
      </x:c>
      <x:c r="AR18" s="200" t="str">
        <x:v>◉</x:v>
      </x:c>
      <x:c r="AS18" s="200" t="str">
        <x:v>◉</x:v>
      </x:c>
      <x:c r="AT18" s="200" t="str">
        <x:v>◉</x:v>
      </x:c>
      <x:c r="AU18" s="200" t="str">
        <x:v>◉</x:v>
      </x:c>
      <x:c r="AV18" s="132"/>
      <x:c r="AW18" s="149"/>
      <x:c r="AX18" s="134"/>
      <x:c r="AY18" s="406" t="str">
        <x:f>IF(COUNTIF($BF$50:$BF$55,1851)=0,"89",IF(COUNTIF($BF$50:$BF$55,1851)&gt;1,IF($BF$50=1851,$BE$50,"")&amp;IF($BF$51=1851,$BE$51,"")&amp;IF($BF$52=1851,$BE$52,"")&amp;IF($BF$53=1851,$BE$53,"")&amp;IF($BF$54=1851,$BE$54,"")&amp;IF($BF$55=1851,$BE$55,""),IF($BF$50=1851,$BG$50,"")&amp;IF($BF$51=1851,$BG$51,"")&amp;IF($BF$52=1851,$BG$52,"")&amp;IF($BF$53=1851,$BG$53,"")&amp;IF($BF$54=1851,$BG$54,"")&amp;IF($BF$55=1851,$BG$55,"")))</x:f>
        <x:v>89</x:v>
      </x:c>
      <x:c r="AZ18" s="408" t="str">
        <x:f>IF(COUNTIF($BF$50:$BF$55,1852)=0,"┆",IF(COUNTIF($BF$50:$BF$55,1852)&gt;1,IF($BF$50=1852,$BE$50,"")&amp;IF($BF$51=1852,$BE$51,"")&amp;IF($BF$52=1852,$BE$52,"")&amp;IF($BF$53=1852,$BE$53,"")&amp;IF($BF$54=1852,$BE$54,"")&amp;IF($BF$55=1852,$BE$55,""),IF($BF$50=1852,$BG$50,"")&amp;IF($BF$51=1852,$BG$51,"")&amp;IF($BF$52=1852,$BG$52,"")&amp;IF($BF$53=1852,$BG$53,"")&amp;IF($BF$54=1852,$BG$54,"")&amp;IF($BF$55=1852,$BG$55,"")))</x:f>
        <x:v>┆</x:v>
      </x:c>
      <x:c r="BA18" s="149"/>
      <x:c r="BB18" s="202" t="str">
        <x:v>◉</x:v>
      </x:c>
      <x:c r="BC18" s="202" t="str">
        <x:v>◉</x:v>
      </x:c>
      <x:c r="BD18" s="109"/>
      <x:c r="BE18" s="275" t="str">
        <x:v>LIVE TIMING  /  实时排名</x:v>
      </x:c>
      <x:c r="BF18" s="276"/>
      <x:c r="BG18" s="276"/>
      <x:c r="BH18" s="276"/>
      <x:c r="BI18" s="276"/>
      <x:c r="BJ18" s="276"/>
      <x:c r="BK18" s="276"/>
      <x:c r="BL18" s="276"/>
      <x:c r="BM18" s="276"/>
      <x:c r="BN18" s="276"/>
      <x:c r="BO18" s="276"/>
      <x:c r="BP18" s="276"/>
      <x:c r="BQ18" s="276"/>
      <x:c r="BR18" s="276"/>
      <x:c r="BS18" s="277"/>
    </x:row>
    <x:row r="19" ht="13.5" customHeight="1">
      <x:c r="A19" s="130"/>
      <x:c r="B19" s="202" t="str">
        <x:v>◉</x:v>
      </x:c>
      <x:c r="C19" s="202" t="str">
        <x:v>◉</x:v>
      </x:c>
      <x:c r="D19" s="202" t="str">
        <x:v>◉</x:v>
      </x:c>
      <x:c r="E19" s="202" t="str">
        <x:v>◉</x:v>
      </x:c>
      <x:c r="F19" s="202" t="str">
        <x:v>◉</x:v>
      </x:c>
      <x:c r="G19" s="202" t="str">
        <x:v>◉</x:v>
      </x:c>
      <x:c r="H19" s="202" t="str">
        <x:v>◉</x:v>
      </x:c>
      <x:c r="I19" s="150"/>
      <x:c r="J19" s="408" t="str">
        <x:f>IF(COUNTIF($BF$50:$BF$55,1910)=0,"┆",IF(COUNTIF($BF$50:$BF$55,1910)&gt;1,IF($BF$50=1910,$BE$50,"")&amp;IF($BF$51=1910,$BE$51,"")&amp;IF($BF$52=1910,$BE$52,"")&amp;IF($BF$53=1910,$BE$53,"")&amp;IF($BF$54=1910,$BE$54,"")&amp;IF($BF$55=1910,$BE$55,""),IF($BF$50=1910,$BG$50,"")&amp;IF($BF$51=1910,$BG$51,"")&amp;IF($BF$52=1910,$BG$52,"")&amp;IF($BF$53=1910,$BG$53,"")&amp;IF($BF$54=1910,$BG$54,"")&amp;IF($BF$55=1910,$BG$55,"")))</x:f>
        <x:v>┆</x:v>
      </x:c>
      <x:c r="K19" s="406" t="str">
        <x:f>IF(COUNTIF($BF$50:$BF$55,1911)=0,"26",IF(COUNTIF($BF$50:$BF$55,1911)&gt;1,IF($BF$50=1911,$BE$50,"")&amp;IF($BF$51=1911,$BE$51,"")&amp;IF($BF$52=1911,$BE$52,"")&amp;IF($BF$53=1911,$BE$53,"")&amp;IF($BF$54=1911,$BE$54,"")&amp;IF($BF$55=1911,$BE$55,""),IF($BF$50=1911,$BG$50,"")&amp;IF($BF$51=1911,$BG$51,"")&amp;IF($BF$52=1911,$BG$52,"")&amp;IF($BF$53=1911,$BG$53,"")&amp;IF($BF$54=1911,$BG$54,"")&amp;IF($BF$55=1911,$BG$55,"")))</x:f>
        <x:v>26</x:v>
      </x:c>
      <x:c r="L19" s="149"/>
      <x:c r="M19" s="132"/>
      <x:c r="N19" s="132"/>
      <x:c r="O19" s="132"/>
      <x:c r="P19" s="200" t="str">
        <x:v>◉</x:v>
      </x:c>
      <x:c r="Q19" s="200" t="str">
        <x:v>◉</x:v>
      </x:c>
      <x:c r="R19" s="200" t="str">
        <x:v>◉</x:v>
      </x:c>
      <x:c r="S19" s="200" t="str">
        <x:v>◉</x:v>
      </x:c>
      <x:c r="T19" s="200" t="str">
        <x:v>◉</x:v>
      </x:c>
      <x:c r="U19" s="200" t="str">
        <x:v>◉</x:v>
      </x:c>
      <x:c r="V19" s="200" t="str">
        <x:v>◉</x:v>
      </x:c>
      <x:c r="W19" s="200" t="str">
        <x:v>◉</x:v>
      </x:c>
      <x:c r="X19" s="200" t="str">
        <x:v>◉</x:v>
      </x:c>
      <x:c r="Y19" s="200" t="str">
        <x:v>◉</x:v>
      </x:c>
      <x:c r="Z19" s="200" t="str">
        <x:v>◉</x:v>
      </x:c>
      <x:c r="AA19" s="200" t="str">
        <x:v>◉</x:v>
      </x:c>
      <x:c r="AB19" s="200" t="str">
        <x:v>◉</x:v>
      </x:c>
      <x:c r="AC19" s="200" t="str">
        <x:v>◉</x:v>
      </x:c>
      <x:c r="AD19" s="200" t="str">
        <x:v>◉</x:v>
      </x:c>
      <x:c r="AE19" s="200" t="str">
        <x:v>◉</x:v>
      </x:c>
      <x:c r="AF19" s="200" t="str">
        <x:v>◉</x:v>
      </x:c>
      <x:c r="AG19" s="200" t="str">
        <x:v>◉</x:v>
      </x:c>
      <x:c r="AH19" s="200" t="str">
        <x:v>◉</x:v>
      </x:c>
      <x:c r="AI19" s="200" t="str">
        <x:v>◉</x:v>
      </x:c>
      <x:c r="AJ19" s="200" t="str">
        <x:v>◉</x:v>
      </x:c>
      <x:c r="AK19" s="200" t="str">
        <x:v>◉</x:v>
      </x:c>
      <x:c r="AL19" s="200" t="str">
        <x:v>◉</x:v>
      </x:c>
      <x:c r="AM19" s="200" t="str">
        <x:v>◉</x:v>
      </x:c>
      <x:c r="AN19" s="200" t="str">
        <x:v>◉</x:v>
      </x:c>
      <x:c r="AO19" s="200" t="str">
        <x:v>◉</x:v>
      </x:c>
      <x:c r="AP19" s="200" t="str">
        <x:v>◉</x:v>
      </x:c>
      <x:c r="AQ19" s="200" t="str">
        <x:v>◉</x:v>
      </x:c>
      <x:c r="AR19" s="200" t="str">
        <x:v>◉</x:v>
      </x:c>
      <x:c r="AS19" s="200" t="str">
        <x:v>◉</x:v>
      </x:c>
      <x:c r="AT19" s="200" t="str">
        <x:v>◉</x:v>
      </x:c>
      <x:c r="AU19" s="200" t="str">
        <x:v>◉</x:v>
      </x:c>
      <x:c r="AV19" s="132"/>
      <x:c r="AW19" s="150"/>
      <x:c r="AX19" s="134"/>
      <x:c r="AY19" s="406" t="str">
        <x:f>IF(COUNTIF($BF$50:$BF$55,1951)=0,"90",IF(COUNTIF($BF$50:$BF$55,1951)&gt;1,IF($BF$50=1951,$BE$50,"")&amp;IF($BF$51=1951,$BE$51,"")&amp;IF($BF$52=1951,$BE$52,"")&amp;IF($BF$53=1951,$BE$53,"")&amp;IF($BF$54=1951,$BE$54,"")&amp;IF($BF$55=1951,$BE$55,""),IF($BF$50=1951,$BG$50,"")&amp;IF($BF$51=1951,$BG$51,"")&amp;IF($BF$52=1951,$BG$52,"")&amp;IF($BF$53=1951,$BG$53,"")&amp;IF($BF$54=1951,$BG$54,"")&amp;IF($BF$55=1951,$BG$55,"")))</x:f>
        <x:v>90</x:v>
      </x:c>
      <x:c r="AZ19" s="408" t="str">
        <x:f>IF(COUNTIF($BF$50:$BF$55,1952)=0,"┆",IF(COUNTIF($BF$50:$BF$55,1952)&gt;1,IF($BF$50=1952,$BE$50,"")&amp;IF($BF$51=1952,$BE$51,"")&amp;IF($BF$52=1952,$BE$52,"")&amp;IF($BF$53=1952,$BE$53,"")&amp;IF($BF$54=1952,$BE$54,"")&amp;IF($BF$55=1952,$BE$55,""),IF($BF$50=1952,$BG$50,"")&amp;IF($BF$51=1952,$BG$51,"")&amp;IF($BF$52=1952,$BG$52,"")&amp;IF($BF$53=1952,$BG$53,"")&amp;IF($BF$54=1952,$BG$54,"")&amp;IF($BF$55=1952,$BG$55,"")))</x:f>
        <x:v>┆</x:v>
      </x:c>
      <x:c r="BA19" s="150"/>
      <x:c r="BB19" s="202" t="str">
        <x:v>◉</x:v>
      </x:c>
      <x:c r="BC19" s="202" t="str">
        <x:v>◉</x:v>
      </x:c>
      <x:c r="BD19" s="109"/>
      <x:c r="BE19" s="275"/>
      <x:c r="BF19" s="276"/>
      <x:c r="BG19" s="276"/>
      <x:c r="BH19" s="276"/>
      <x:c r="BI19" s="276"/>
      <x:c r="BJ19" s="276"/>
      <x:c r="BK19" s="276"/>
      <x:c r="BL19" s="276"/>
      <x:c r="BM19" s="276"/>
      <x:c r="BN19" s="276"/>
      <x:c r="BO19" s="276"/>
      <x:c r="BP19" s="276"/>
      <x:c r="BQ19" s="276"/>
      <x:c r="BR19" s="276"/>
      <x:c r="BS19" s="277"/>
    </x:row>
    <x:row r="20" ht="13.5" customHeight="1">
      <x:c r="A20" s="130"/>
      <x:c r="B20" s="148"/>
      <x:c r="C20" s="141"/>
      <x:c r="D20" s="142"/>
      <x:c r="E20" s="141"/>
      <x:c r="F20" s="142"/>
      <x:c r="G20" s="141"/>
      <x:c r="H20" s="142"/>
      <x:c r="I20" s="156"/>
      <x:c r="J20" s="406" t="str">
        <x:f>IF(COUNTIF($BF$50:$BF$55,2010)=0,"25",IF(COUNTIF($BF$50:$BF$55,2010)&gt;1,IF($BF$50=2010,$BE$50,"")&amp;IF($BF$51=2010,$BE$51,"")&amp;IF($BF$52=2010,$BE$52,"")&amp;IF($BF$53=2010,$BE$53,"")&amp;IF($BF$54=2010,$BE$54,"")&amp;IF($BF$55=2010,$BE$55,""),IF($BF$50=2010,$BG$50,"")&amp;IF($BF$51=2010,$BG$51,"")&amp;IF($BF$52=2010,$BG$52,"")&amp;IF($BF$53=2010,$BG$53,"")&amp;IF($BF$54=2010,$BG$54,"")&amp;IF($BF$55=2010,$BG$55,"")))</x:f>
        <x:v>25</x:v>
      </x:c>
      <x:c r="K20" s="408" t="str">
        <x:f>IF(COUNTIF($BF$50:$BF$55,2011)=0,"",IF(COUNTIF($BF$50:$BF$55,2011)&gt;1,IF($BF$50=2011,$BE$50,"")&amp;IF($BF$51=2011,$BE$51,"")&amp;IF($BF$52=2011,$BE$52,"")&amp;IF($BF$53=2011,$BE$53,"")&amp;IF($BF$54=2011,$BE$54,"")&amp;IF($BF$55=2011,$BE$55,""),IF($BF$50=2011,$BG$50,"")&amp;IF($BF$51=2011,$BG$51,"")&amp;IF($BF$52=2011,$BG$52,"")&amp;IF($BF$53=2011,$BG$53,"")&amp;IF($BF$54=2011,$BG$54,"")&amp;IF($BF$55=2011,$BG$55,"")))</x:f>
      </x:c>
      <x:c r="L20" s="150"/>
      <x:c r="M20" s="132"/>
      <x:c r="N20" s="132"/>
      <x:c r="O20" s="132"/>
      <x:c r="P20" s="132"/>
      <x:c r="Q20" s="132"/>
      <x:c r="R20" s="132"/>
      <x:c r="S20" s="132"/>
      <x:c r="T20" s="132"/>
      <x:c r="U20" s="132"/>
      <x:c r="V20" s="132"/>
      <x:c r="W20" s="132"/>
      <x:c r="X20" s="132"/>
      <x:c r="Y20" s="132"/>
      <x:c r="Z20" s="132"/>
      <x:c r="AA20" s="132"/>
      <x:c r="AB20" s="132"/>
      <x:c r="AC20" s="132"/>
      <x:c r="AD20" s="132"/>
      <x:c r="AE20" s="132"/>
      <x:c r="AF20" s="132"/>
      <x:c r="AG20" s="132"/>
      <x:c r="AH20" s="132"/>
      <x:c r="AI20" s="132"/>
      <x:c r="AJ20" s="132"/>
      <x:c r="AK20" s="132"/>
      <x:c r="AL20" s="132"/>
      <x:c r="AM20" s="132"/>
      <x:c r="AN20" s="132"/>
      <x:c r="AO20" s="132"/>
      <x:c r="AP20" s="132"/>
      <x:c r="AQ20" s="132"/>
      <x:c r="AR20" s="132"/>
      <x:c r="AS20" s="132"/>
      <x:c r="AT20" s="132"/>
      <x:c r="AU20" s="132"/>
      <x:c r="AV20" s="132"/>
      <x:c r="AW20" s="149"/>
      <x:c r="AX20" s="134"/>
      <x:c r="AY20" s="406" t="str">
        <x:f>IF(COUNTIF($BF$50:$BF$55,2051)=0,"91",IF(COUNTIF($BF$50:$BF$55,2051)&gt;1,IF($BF$50=2051,$BE$50,"")&amp;IF($BF$51=2051,$BE$51,"")&amp;IF($BF$52=2051,$BE$52,"")&amp;IF($BF$53=2051,$BE$53,"")&amp;IF($BF$54=2051,$BE$54,"")&amp;IF($BF$55=2051,$BE$55,""),IF($BF$50=2051,$BG$50,"")&amp;IF($BF$51=2051,$BG$51,"")&amp;IF($BF$52=2051,$BG$52,"")&amp;IF($BF$53=2051,$BG$53,"")&amp;IF($BF$54=2051,$BG$54,"")&amp;IF($BF$55=2051,$BG$55,"")))</x:f>
        <x:v>91</x:v>
      </x:c>
      <x:c r="AZ20" s="408" t="str">
        <x:f>IF(COUNTIF($BF$50:$BF$55,2052)=0,"┆",IF(COUNTIF($BF$50:$BF$55,2052)&gt;1,IF($BF$50=2052,$BE$50,"")&amp;IF($BF$51=2052,$BE$51,"")&amp;IF($BF$52=2052,$BE$52,"")&amp;IF($BF$53=2052,$BE$53,"")&amp;IF($BF$54=2052,$BE$54,"")&amp;IF($BF$55=2052,$BE$55,""),IF($BF$50=2052,$BG$50,"")&amp;IF($BF$51=2052,$BG$51,"")&amp;IF($BF$52=2052,$BG$52,"")&amp;IF($BF$53=2052,$BG$53,"")&amp;IF($BF$54=2052,$BG$54,"")&amp;IF($BF$55=2052,$BG$55,"")))</x:f>
        <x:v>┆</x:v>
      </x:c>
      <x:c r="BA20" s="149"/>
      <x:c r="BB20" s="202" t="str">
        <x:v>◉</x:v>
      </x:c>
      <x:c r="BC20" s="202" t="str">
        <x:v>◉</x:v>
      </x:c>
      <x:c r="BD20" s="109"/>
      <x:c r="BE20" s="253"/>
      <x:c r="BF20" s="248"/>
      <x:c r="BG20" s="248"/>
      <x:c r="BH20" s="248"/>
      <x:c r="BI20" s="248"/>
      <x:c r="BJ20" s="248"/>
      <x:c r="BK20" s="248"/>
      <x:c r="BL20" s="248"/>
      <x:c r="BM20" s="248"/>
      <x:c r="BN20" s="248"/>
      <x:c r="BO20" s="248"/>
      <x:c r="BP20" s="248"/>
      <x:c r="BQ20" s="248"/>
      <x:c r="BR20" s="248"/>
      <x:c r="BS20" s="254"/>
    </x:row>
    <x:row r="21" ht="13.5" customHeight="1">
      <x:c r="A21" s="130"/>
      <x:c r="B21" s="149"/>
      <x:c r="C21" s="134"/>
      <x:c r="D21" s="134"/>
      <x:c r="E21" s="134"/>
      <x:c r="F21" s="406" t="str">
        <x:f>IF(COUNTIF($BF$50:$BF$55,2106)=0,"21",IF(COUNTIF($BF$50:$BF$55,2106)&gt;1,IF($BF$50=2106,$BE$50,"")&amp;IF($BF$51=2106,$BE$51,"")&amp;IF($BF$52=2106,$BE$52,"")&amp;IF($BF$53=2106,$BE$53,"")&amp;IF($BF$54=2106,$BE$54,"")&amp;IF($BF$55=2106,$BE$55,""),IF($BF$50=2106,$BG$50,"")&amp;IF($BF$51=2106,$BG$51,"")&amp;IF($BF$52=2106,$BG$52,"")&amp;IF($BF$53=2106,$BG$53,"")&amp;IF($BF$54=2106,$BG$54,"")&amp;IF($BF$55=2106,$BG$55,"")))</x:f>
        <x:v>21</x:v>
      </x:c>
      <x:c r="G21" s="406" t="str">
        <x:f>IF(COUNTIF($BF$50:$BF$55,2107)=0,"22",IF(COUNTIF($BF$50:$BF$55,2107)&gt;1,IF($BF$50=2107,$BE$50,"")&amp;IF($BF$51=2107,$BE$51,"")&amp;IF($BF$52=2107,$BE$52,"")&amp;IF($BF$53=2107,$BE$53,"")&amp;IF($BF$54=2107,$BE$54,"")&amp;IF($BF$55=2107,$BE$55,""),IF($BF$50=2107,$BG$50,"")&amp;IF($BF$51=2107,$BG$51,"")&amp;IF($BF$52=2107,$BG$52,"")&amp;IF($BF$53=2107,$BG$53,"")&amp;IF($BF$54=2107,$BG$54,"")&amp;IF($BF$55=2107,$BG$55,"")))</x:f>
        <x:v>22</x:v>
      </x:c>
      <x:c r="H21" s="406" t="str">
        <x:f>IF(COUNTIF($BF$50:$BF$55,2108)=0,"23",IF(COUNTIF($BF$50:$BF$55,2108)&gt;1,IF($BF$50=2108,$BE$50,"")&amp;IF($BF$51=2108,$BE$51,"")&amp;IF($BF$52=2108,$BE$52,"")&amp;IF($BF$53=2108,$BE$53,"")&amp;IF($BF$54=2108,$BE$54,"")&amp;IF($BF$55=2108,$BE$55,""),IF($BF$50=2108,$BG$50,"")&amp;IF($BF$51=2108,$BG$51,"")&amp;IF($BF$52=2108,$BG$52,"")&amp;IF($BF$53=2108,$BG$53,"")&amp;IF($BF$54=2108,$BG$54,"")&amp;IF($BF$55=2108,$BG$55,"")))</x:f>
        <x:v>23</x:v>
      </x:c>
      <x:c r="I21" s="406" t="str">
        <x:f>IF(COUNTIF($BF$50:$BF$55,2109)=0,"24",IF(COUNTIF($BF$50:$BF$55,2109)&gt;1,IF($BF$50=2109,$BE$50,"")&amp;IF($BF$51=2109,$BE$51,"")&amp;IF($BF$52=2109,$BE$52,"")&amp;IF($BF$53=2109,$BE$53,"")&amp;IF($BF$54=2109,$BE$54,"")&amp;IF($BF$55=2109,$BE$55,""),IF($BF$50=2109,$BG$50,"")&amp;IF($BF$51=2109,$BG$51,"")&amp;IF($BF$52=2109,$BG$52,"")&amp;IF($BF$53=2109,$BG$53,"")&amp;IF($BF$54=2109,$BG$54,"")&amp;IF($BF$55=2109,$BG$55,"")))</x:f>
        <x:v>24</x:v>
      </x:c>
      <x:c r="J21" s="134"/>
      <x:c r="K21" s="134"/>
      <x:c r="L21" s="149"/>
      <x:c r="M21" s="132"/>
      <x:c r="N21" s="132"/>
      <x:c r="O21" s="132"/>
      <x:c r="P21" s="210" t="str">
        <x:v>F I N I S H   G A R A G E   /   完赛后归位</x:v>
      </x:c>
      <x:c r="Q21" s="210"/>
      <x:c r="R21" s="210"/>
      <x:c r="S21" s="210"/>
      <x:c r="T21" s="210"/>
      <x:c r="U21" s="210"/>
      <x:c r="V21" s="210"/>
      <x:c r="W21" s="210"/>
      <x:c r="X21" s="210"/>
      <x:c r="Y21" s="210"/>
      <x:c r="Z21" s="210"/>
      <x:c r="AA21" s="210"/>
      <x:c r="AB21" s="210"/>
      <x:c r="AC21" s="210"/>
      <x:c r="AD21" s="210"/>
      <x:c r="AE21" s="210"/>
      <x:c r="AF21" s="210"/>
      <x:c r="AG21" s="210"/>
      <x:c r="AH21" s="210"/>
      <x:c r="AI21" s="210"/>
      <x:c r="AJ21" s="210"/>
      <x:c r="AK21" s="210"/>
      <x:c r="AL21" s="210"/>
      <x:c r="AM21" s="210"/>
      <x:c r="AN21" s="210"/>
      <x:c r="AO21" s="210"/>
      <x:c r="AP21" s="210"/>
      <x:c r="AQ21" s="210"/>
      <x:c r="AR21" s="210"/>
      <x:c r="AS21" s="210"/>
      <x:c r="AT21" s="132"/>
      <x:c r="AU21" s="132"/>
      <x:c r="AV21" s="132"/>
      <x:c r="AW21" s="150"/>
      <x:c r="AX21" s="134"/>
      <x:c r="AY21" s="406" t="str">
        <x:f>IF(COUNTIF($BF$50:$BF$55,2151)=0,"92",IF(COUNTIF($BF$50:$BF$55,2151)&gt;1,IF($BF$50=2151,$BE$50,"")&amp;IF($BF$51=2151,$BE$51,"")&amp;IF($BF$52=2151,$BE$52,"")&amp;IF($BF$53=2151,$BE$53,"")&amp;IF($BF$54=2151,$BE$54,"")&amp;IF($BF$55=2151,$BE$55,""),IF($BF$50=2151,$BG$50,"")&amp;IF($BF$51=2151,$BG$51,"")&amp;IF($BF$52=2151,$BG$52,"")&amp;IF($BF$53=2151,$BG$53,"")&amp;IF($BF$54=2151,$BG$54,"")&amp;IF($BF$55=2151,$BG$55,"")))</x:f>
        <x:v>92</x:v>
      </x:c>
      <x:c r="AZ21" s="408" t="str">
        <x:f>IF(COUNTIF($BF$50:$BF$55,2152)=0,"┆",IF(COUNTIF($BF$50:$BF$55,2152)&gt;1,IF($BF$50=2152,$BE$50,"")&amp;IF($BF$51=2152,$BE$51,"")&amp;IF($BF$52=2152,$BE$52,"")&amp;IF($BF$53=2152,$BE$53,"")&amp;IF($BF$54=2152,$BE$54,"")&amp;IF($BF$55=2152,$BE$55,""),IF($BF$50=2152,$BG$50,"")&amp;IF($BF$51=2152,$BG$51,"")&amp;IF($BF$52=2152,$BG$52,"")&amp;IF($BF$53=2152,$BG$53,"")&amp;IF($BF$54=2152,$BG$54,"")&amp;IF($BF$55=2152,$BG$55,"")))</x:f>
        <x:v>┆</x:v>
      </x:c>
      <x:c r="BA21" s="150"/>
      <x:c r="BB21" s="202" t="str">
        <x:v>◉</x:v>
      </x:c>
      <x:c r="BC21" s="202" t="str">
        <x:v>◉</x:v>
      </x:c>
      <x:c r="BD21" s="109"/>
      <x:c r="BE21" s="324" t="str">
        <x:v>名次</x:v>
      </x:c>
      <x:c r="BF21" s="325"/>
      <x:c r="BG21" s="325" t="str">
        <x:v>车手</x:v>
      </x:c>
      <x:c r="BH21" s="325"/>
      <x:c r="BI21" s="325"/>
      <x:c r="BJ21" s="325"/>
      <x:c r="BK21" s="325"/>
      <x:c r="BL21" s="325"/>
      <x:c r="BM21" s="325" t="str">
        <x:v>圈数</x:v>
      </x:c>
      <x:c r="BN21" s="325"/>
      <x:c r="BO21" s="325"/>
      <x:c r="BP21" s="325" t="str">
        <x:v>差距/格</x:v>
      </x:c>
      <x:c r="BQ21" s="325"/>
      <x:c r="BR21" s="325"/>
      <x:c r="BS21" s="328"/>
    </x:row>
    <x:row r="22" ht="13.5" customHeight="1">
      <x:c r="A22" s="130"/>
      <x:c r="B22" s="150"/>
      <x:c r="C22" s="168" t="str">
        <x:v>┆</x:v>
      </x:c>
      <x:c r="D22" s="408" t="str">
        <x:f>IF(COUNTIF($BF$50:$BF$55,2204)=0,"",IF(COUNTIF($BF$50:$BF$55,2204)&gt;1,IF($BF$50=2204,$BE$50,"")&amp;IF($BF$51=2204,$BE$51,"")&amp;IF($BF$52=2204,$BE$52,"")&amp;IF($BF$53=2204,$BE$53,"")&amp;IF($BF$54=2204,$BE$54,"")&amp;IF($BF$55=2204,$BE$55,""),IF($BF$50=2204,$BG$50,"")&amp;IF($BF$51=2204,$BG$51,"")&amp;IF($BF$52=2204,$BG$52,"")&amp;IF($BF$53=2204,$BG$53,"")&amp;IF($BF$54=2204,$BG$54,"")&amp;IF($BF$55=2204,$BG$55,"")))</x:f>
      </x:c>
      <x:c r="E22" s="406" t="str">
        <x:f>IF(COUNTIF($BF$50:$BF$55,2205)=0,"20",IF(COUNTIF($BF$50:$BF$55,2205)&gt;1,IF($BF$50=2205,$BE$50,"")&amp;IF($BF$51=2205,$BE$51,"")&amp;IF($BF$52=2205,$BE$52,"")&amp;IF($BF$53=2205,$BE$53,"")&amp;IF($BF$54=2205,$BE$54,"")&amp;IF($BF$55=2205,$BE$55,""),IF($BF$50=2205,$BG$50,"")&amp;IF($BF$51=2205,$BG$51,"")&amp;IF($BF$52=2205,$BG$52,"")&amp;IF($BF$53=2205,$BG$53,"")&amp;IF($BF$54=2205,$BG$54,"")&amp;IF($BF$55=2205,$BG$55,"")))</x:f>
        <x:v>20</x:v>
      </x:c>
      <x:c r="F22" s="408" t="str">
        <x:f>IF(COUNTIF($BF$50:$BF$55,2206)=0,"┄",IF(COUNTIF($BF$50:$BF$55,2206)&gt;1,IF($BF$50=2206,$BE$50,"")&amp;IF($BF$51=2206,$BE$51,"")&amp;IF($BF$52=2206,$BE$52,"")&amp;IF($BF$53=2206,$BE$53,"")&amp;IF($BF$54=2206,$BE$54,"")&amp;IF($BF$55=2206,$BE$55,""),IF($BF$50=2206,$BG$50,"")&amp;IF($BF$51=2206,$BG$51,"")&amp;IF($BF$52=2206,$BG$52,"")&amp;IF($BF$53=2206,$BG$53,"")&amp;IF($BF$54=2206,$BG$54,"")&amp;IF($BF$55=2206,$BG$55,"")))</x:f>
        <x:v>┄</x:v>
      </x:c>
      <x:c r="G22" s="408" t="str">
        <x:f>IF(COUNTIF($BF$50:$BF$55,2207)=0,"┄",IF(COUNTIF($BF$50:$BF$55,2207)&gt;1,IF($BF$50=2207,$BE$50,"")&amp;IF($BF$51=2207,$BE$51,"")&amp;IF($BF$52=2207,$BE$52,"")&amp;IF($BF$53=2207,$BE$53,"")&amp;IF($BF$54=2207,$BE$54,"")&amp;IF($BF$55=2207,$BE$55,""),IF($BF$50=2207,$BG$50,"")&amp;IF($BF$51=2207,$BG$51,"")&amp;IF($BF$52=2207,$BG$52,"")&amp;IF($BF$53=2207,$BG$53,"")&amp;IF($BF$54=2207,$BG$54,"")&amp;IF($BF$55=2207,$BG$55,"")))</x:f>
        <x:v>┄</x:v>
      </x:c>
      <x:c r="H22" s="408" t="str">
        <x:f>IF(COUNTIF($BF$50:$BF$55,2208)=0,"┄",IF(COUNTIF($BF$50:$BF$55,2208)&gt;1,IF($BF$50=2208,$BE$50,"")&amp;IF($BF$51=2208,$BE$51,"")&amp;IF($BF$52=2208,$BE$52,"")&amp;IF($BF$53=2208,$BE$53,"")&amp;IF($BF$54=2208,$BE$54,"")&amp;IF($BF$55=2208,$BE$55,""),IF($BF$50=2208,$BG$50,"")&amp;IF($BF$51=2208,$BG$51,"")&amp;IF($BF$52=2208,$BG$52,"")&amp;IF($BF$53=2208,$BG$53,"")&amp;IF($BF$54=2208,$BG$54,"")&amp;IF($BF$55=2208,$BG$55,"")))</x:f>
        <x:v>┄</x:v>
      </x:c>
      <x:c r="I22" s="408" t="str">
        <x:f>IF(COUNTIF($BF$50:$BF$55,2209)=0,"┄",IF(COUNTIF($BF$50:$BF$55,2209)&gt;1,IF($BF$50=2209,$BE$50,"")&amp;IF($BF$51=2209,$BE$51,"")&amp;IF($BF$52=2209,$BE$52,"")&amp;IF($BF$53=2209,$BE$53,"")&amp;IF($BF$54=2209,$BE$54,"")&amp;IF($BF$55=2209,$BE$55,""),IF($BF$50=2209,$BG$50,"")&amp;IF($BF$51=2209,$BG$51,"")&amp;IF($BF$52=2209,$BG$52,"")&amp;IF($BF$53=2209,$BG$53,"")&amp;IF($BF$54=2209,$BG$54,"")&amp;IF($BF$55=2209,$BG$55,"")))</x:f>
        <x:v>┄</x:v>
      </x:c>
      <x:c r="J22" s="168" t="str">
        <x:v>┆</x:v>
      </x:c>
      <x:c r="K22" s="168" t="str">
        <x:v>┄</x:v>
      </x:c>
      <x:c r="L22" s="150"/>
      <x:c r="M22" s="132"/>
      <x:c r="N22" s="132"/>
      <x:c r="O22" s="132"/>
      <x:c r="P22" s="230" t="str">
        <x:v>01 / REDLINE</x:v>
      </x:c>
      <x:c r="Q22" s="231"/>
      <x:c r="R22" s="231"/>
      <x:c r="S22" s="231"/>
      <x:c r="T22" s="232"/>
      <x:c r="U22" s="230" t="str">
        <x:v>02 / APEX</x:v>
      </x:c>
      <x:c r="V22" s="231"/>
      <x:c r="W22" s="231"/>
      <x:c r="X22" s="231"/>
      <x:c r="Y22" s="232"/>
      <x:c r="Z22" s="230" t="str">
        <x:v>03 / VELOCITY</x:v>
      </x:c>
      <x:c r="AA22" s="231"/>
      <x:c r="AB22" s="231"/>
      <x:c r="AC22" s="231"/>
      <x:c r="AD22" s="232"/>
      <x:c r="AE22" s="230" t="str">
        <x:v>04 / NOVA</x:v>
      </x:c>
      <x:c r="AF22" s="231"/>
      <x:c r="AG22" s="231"/>
      <x:c r="AH22" s="231"/>
      <x:c r="AI22" s="232"/>
      <x:c r="AJ22" s="230" t="str">
        <x:v>05 / VECTOR</x:v>
      </x:c>
      <x:c r="AK22" s="231"/>
      <x:c r="AL22" s="231"/>
      <x:c r="AM22" s="231"/>
      <x:c r="AN22" s="232"/>
      <x:c r="AO22" s="230" t="str">
        <x:v>06 / PULSE</x:v>
      </x:c>
      <x:c r="AP22" s="231"/>
      <x:c r="AQ22" s="231"/>
      <x:c r="AR22" s="231"/>
      <x:c r="AS22" s="232"/>
      <x:c r="AT22" s="132"/>
      <x:c r="AU22" s="132"/>
      <x:c r="AV22" s="132"/>
      <x:c r="AW22" s="149"/>
      <x:c r="AX22" s="134"/>
      <x:c r="AY22" s="406" t="str">
        <x:f>IF(COUNTIF($BF$50:$BF$55,2251)=0,"93",IF(COUNTIF($BF$50:$BF$55,2251)&gt;1,IF($BF$50=2251,$BE$50,"")&amp;IF($BF$51=2251,$BE$51,"")&amp;IF($BF$52=2251,$BE$52,"")&amp;IF($BF$53=2251,$BE$53,"")&amp;IF($BF$54=2251,$BE$54,"")&amp;IF($BF$55=2251,$BE$55,""),IF($BF$50=2251,$BG$50,"")&amp;IF($BF$51=2251,$BG$51,"")&amp;IF($BF$52=2251,$BG$52,"")&amp;IF($BF$53=2251,$BG$53,"")&amp;IF($BF$54=2251,$BG$54,"")&amp;IF($BF$55=2251,$BG$55,"")))</x:f>
        <x:v>93</x:v>
      </x:c>
      <x:c r="AZ22" s="408" t="str">
        <x:f>IF(COUNTIF($BF$50:$BF$55,2252)=0,"┆",IF(COUNTIF($BF$50:$BF$55,2252)&gt;1,IF($BF$50=2252,$BE$50,"")&amp;IF($BF$51=2252,$BE$51,"")&amp;IF($BF$52=2252,$BE$52,"")&amp;IF($BF$53=2252,$BE$53,"")&amp;IF($BF$54=2252,$BE$54,"")&amp;IF($BF$55=2252,$BE$55,""),IF($BF$50=2252,$BG$50,"")&amp;IF($BF$51=2252,$BG$51,"")&amp;IF($BF$52=2252,$BG$52,"")&amp;IF($BF$53=2252,$BG$53,"")&amp;IF($BF$54=2252,$BG$54,"")&amp;IF($BF$55=2252,$BG$55,"")))</x:f>
        <x:v>┆</x:v>
      </x:c>
      <x:c r="BA22" s="149"/>
      <x:c r="BB22" s="202" t="str">
        <x:v>◉</x:v>
      </x:c>
      <x:c r="BC22" s="202" t="str">
        <x:v>◉</x:v>
      </x:c>
      <x:c r="BD22" s="109"/>
      <x:c r="BE22" s="336" t="n">
        <x:f>Live!A19</x:f>
        <x:v>1</x:v>
      </x:c>
      <x:c r="BF22" s="337"/>
      <x:c r="BG22" s="422" t="str">
        <x:f>TEXT(Live!B19,"00")&amp;"  "&amp;Live!C19</x:f>
        <x:v>03  金翼</x:v>
      </x:c>
      <x:c r="BH22" s="422"/>
      <x:c r="BI22" s="422"/>
      <x:c r="BJ22" s="422"/>
      <x:c r="BK22" s="422"/>
      <x:c r="BL22" s="422"/>
      <x:c r="BM22" s="342" t="str">
        <x:f>IF(Live!I19&gt;=1,"END",Live!E19&amp;"/"&amp;Control!$B$6)</x:f>
        <x:v>4/5</x:v>
      </x:c>
      <x:c r="BN22" s="342"/>
      <x:c r="BO22" s="342"/>
      <x:c r="BP22" s="342" t="str">
        <x:f>IF(Live!I19&gt;=1,TEXT(Live!J19,"0.00")&amp;"s",IF(Live!A19=1,"LEAD","+"&amp;TEXT(Live!G19,"0.0")))</x:f>
        <x:v>LEAD</x:v>
      </x:c>
      <x:c r="BQ22" s="342"/>
      <x:c r="BR22" s="342"/>
      <x:c r="BS22" s="343"/>
    </x:row>
    <x:row r="23" ht="13.5" customHeight="1">
      <x:c r="A23" s="130"/>
      <x:c r="B23" s="149"/>
      <x:c r="C23" s="408" t="str">
        <x:f>IF(COUNTIF($BF$50:$BF$55,2303)=0,"┆",IF(COUNTIF($BF$50:$BF$55,2303)&gt;1,IF($BF$50=2303,$BE$50,"")&amp;IF($BF$51=2303,$BE$51,"")&amp;IF($BF$52=2303,$BE$52,"")&amp;IF($BF$53=2303,$BE$53,"")&amp;IF($BF$54=2303,$BE$54,"")&amp;IF($BF$55=2303,$BE$55,""),IF($BF$50=2303,$BG$50,"")&amp;IF($BF$51=2303,$BG$51,"")&amp;IF($BF$52=2303,$BG$52,"")&amp;IF($BF$53=2303,$BG$53,"")&amp;IF($BF$54=2303,$BG$54,"")&amp;IF($BF$55=2303,$BG$55,"")))</x:f>
        <x:v>┆</x:v>
      </x:c>
      <x:c r="D23" s="406" t="str">
        <x:f>IF(COUNTIF($BF$50:$BF$55,2304)=0,"19",IF(COUNTIF($BF$50:$BF$55,2304)&gt;1,IF($BF$50=2304,$BE$50,"")&amp;IF($BF$51=2304,$BE$51,"")&amp;IF($BF$52=2304,$BE$52,"")&amp;IF($BF$53=2304,$BE$53,"")&amp;IF($BF$54=2304,$BE$54,"")&amp;IF($BF$55=2304,$BE$55,""),IF($BF$50=2304,$BG$50,"")&amp;IF($BF$51=2304,$BG$51,"")&amp;IF($BF$52=2304,$BG$52,"")&amp;IF($BF$53=2304,$BG$53,"")&amp;IF($BF$54=2304,$BG$54,"")&amp;IF($BF$55=2304,$BG$55,"")))</x:f>
        <x:v>19</x:v>
      </x:c>
      <x:c r="E23" s="148"/>
      <x:c r="F23" s="141"/>
      <x:c r="G23" s="142"/>
      <x:c r="H23" s="141"/>
      <x:c r="I23" s="142"/>
      <x:c r="J23" s="141"/>
      <x:c r="K23" s="142"/>
      <x:c r="L23" s="156"/>
      <x:c r="M23" s="132"/>
      <x:c r="N23" s="132"/>
      <x:c r="O23" s="132"/>
      <x:c r="P23" s="217"/>
      <x:c r="Q23" s="212"/>
      <x:c r="R23" s="410" t="str">
        <x:f>IF(COUNTIF($BF$50:$BF$55,2318)=0,"",IF(COUNTIF($BF$50:$BF$55,2318)&gt;1,IF($BF$50=2318,$BE$50,"")&amp;IF($BF$51=2318,$BE$51,"")&amp;IF($BF$52=2318,$BE$52,"")&amp;IF($BF$53=2318,$BE$53,"")&amp;IF($BF$54=2318,$BE$54,"")&amp;IF($BF$55=2318,$BE$55,""),IF($BF$50=2318,$BG$50,"")&amp;IF($BF$51=2318,$BG$51,"")&amp;IF($BF$52=2318,$BG$52,"")&amp;IF($BF$53=2318,$BG$53,"")&amp;IF($BF$54=2318,$BG$54,"")&amp;IF($BF$55=2318,$BG$55,"")))</x:f>
      </x:c>
      <x:c r="S23" s="212"/>
      <x:c r="T23" s="218"/>
      <x:c r="U23" s="217"/>
      <x:c r="V23" s="212"/>
      <x:c r="W23" s="410" t="str">
        <x:f>IF(COUNTIF($BF$50:$BF$55,2323)=0,"",IF(COUNTIF($BF$50:$BF$55,2323)&gt;1,IF($BF$50=2323,$BE$50,"")&amp;IF($BF$51=2323,$BE$51,"")&amp;IF($BF$52=2323,$BE$52,"")&amp;IF($BF$53=2323,$BE$53,"")&amp;IF($BF$54=2323,$BE$54,"")&amp;IF($BF$55=2323,$BE$55,""),IF($BF$50=2323,$BG$50,"")&amp;IF($BF$51=2323,$BG$51,"")&amp;IF($BF$52=2323,$BG$52,"")&amp;IF($BF$53=2323,$BG$53,"")&amp;IF($BF$54=2323,$BG$54,"")&amp;IF($BF$55=2323,$BG$55,"")))</x:f>
      </x:c>
      <x:c r="X23" s="212"/>
      <x:c r="Y23" s="218"/>
      <x:c r="Z23" s="217"/>
      <x:c r="AA23" s="212"/>
      <x:c r="AB23" s="410" t="str">
        <x:f>IF(COUNTIF($BF$50:$BF$55,2328)=0,"",IF(COUNTIF($BF$50:$BF$55,2328)&gt;1,IF($BF$50=2328,$BE$50,"")&amp;IF($BF$51=2328,$BE$51,"")&amp;IF($BF$52=2328,$BE$52,"")&amp;IF($BF$53=2328,$BE$53,"")&amp;IF($BF$54=2328,$BE$54,"")&amp;IF($BF$55=2328,$BE$55,""),IF($BF$50=2328,$BG$50,"")&amp;IF($BF$51=2328,$BG$51,"")&amp;IF($BF$52=2328,$BG$52,"")&amp;IF($BF$53=2328,$BG$53,"")&amp;IF($BF$54=2328,$BG$54,"")&amp;IF($BF$55=2328,$BG$55,"")))</x:f>
      </x:c>
      <x:c r="AC23" s="212"/>
      <x:c r="AD23" s="218"/>
      <x:c r="AE23" s="217"/>
      <x:c r="AF23" s="212"/>
      <x:c r="AG23" s="410" t="str">
        <x:f>IF(COUNTIF($BF$50:$BF$55,2333)=0,"",IF(COUNTIF($BF$50:$BF$55,2333)&gt;1,IF($BF$50=2333,$BE$50,"")&amp;IF($BF$51=2333,$BE$51,"")&amp;IF($BF$52=2333,$BE$52,"")&amp;IF($BF$53=2333,$BE$53,"")&amp;IF($BF$54=2333,$BE$54,"")&amp;IF($BF$55=2333,$BE$55,""),IF($BF$50=2333,$BG$50,"")&amp;IF($BF$51=2333,$BG$51,"")&amp;IF($BF$52=2333,$BG$52,"")&amp;IF($BF$53=2333,$BG$53,"")&amp;IF($BF$54=2333,$BG$54,"")&amp;IF($BF$55=2333,$BG$55,"")))</x:f>
      </x:c>
      <x:c r="AH23" s="212"/>
      <x:c r="AI23" s="218"/>
      <x:c r="AJ23" s="217"/>
      <x:c r="AK23" s="212"/>
      <x:c r="AL23" s="410" t="str">
        <x:f>IF(COUNTIF($BF$50:$BF$55,2338)=0,"",IF(COUNTIF($BF$50:$BF$55,2338)&gt;1,IF($BF$50=2338,$BE$50,"")&amp;IF($BF$51=2338,$BE$51,"")&amp;IF($BF$52=2338,$BE$52,"")&amp;IF($BF$53=2338,$BE$53,"")&amp;IF($BF$54=2338,$BE$54,"")&amp;IF($BF$55=2338,$BE$55,""),IF($BF$50=2338,$BG$50,"")&amp;IF($BF$51=2338,$BG$51,"")&amp;IF($BF$52=2338,$BG$52,"")&amp;IF($BF$53=2338,$BG$53,"")&amp;IF($BF$54=2338,$BG$54,"")&amp;IF($BF$55=2338,$BG$55,"")))</x:f>
      </x:c>
      <x:c r="AM23" s="212"/>
      <x:c r="AN23" s="218"/>
      <x:c r="AO23" s="217"/>
      <x:c r="AP23" s="212"/>
      <x:c r="AQ23" s="410" t="str">
        <x:f>IF(COUNTIF($BF$50:$BF$55,2343)=0,"",IF(COUNTIF($BF$50:$BF$55,2343)&gt;1,IF($BF$50=2343,$BE$50,"")&amp;IF($BF$51=2343,$BE$51,"")&amp;IF($BF$52=2343,$BE$52,"")&amp;IF($BF$53=2343,$BE$53,"")&amp;IF($BF$54=2343,$BE$54,"")&amp;IF($BF$55=2343,$BE$55,""),IF($BF$50=2343,$BG$50,"")&amp;IF($BF$51=2343,$BG$51,"")&amp;IF($BF$52=2343,$BG$52,"")&amp;IF($BF$53=2343,$BG$53,"")&amp;IF($BF$54=2343,$BG$54,"")&amp;IF($BF$55=2343,$BG$55,"")))</x:f>
      </x:c>
      <x:c r="AR23" s="212"/>
      <x:c r="AS23" s="218"/>
      <x:c r="AT23" s="132"/>
      <x:c r="AU23" s="132"/>
      <x:c r="AV23" s="132"/>
      <x:c r="AW23" s="150"/>
      <x:c r="AX23" s="134"/>
      <x:c r="AY23" s="406" t="str">
        <x:f>IF(COUNTIF($BF$50:$BF$55,2351)=0,"94",IF(COUNTIF($BF$50:$BF$55,2351)&gt;1,IF($BF$50=2351,$BE$50,"")&amp;IF($BF$51=2351,$BE$51,"")&amp;IF($BF$52=2351,$BE$52,"")&amp;IF($BF$53=2351,$BE$53,"")&amp;IF($BF$54=2351,$BE$54,"")&amp;IF($BF$55=2351,$BE$55,""),IF($BF$50=2351,$BG$50,"")&amp;IF($BF$51=2351,$BG$51,"")&amp;IF($BF$52=2351,$BG$52,"")&amp;IF($BF$53=2351,$BG$53,"")&amp;IF($BF$54=2351,$BG$54,"")&amp;IF($BF$55=2351,$BG$55,"")))</x:f>
        <x:v>94</x:v>
      </x:c>
      <x:c r="AZ23" s="408" t="str">
        <x:f>IF(COUNTIF($BF$50:$BF$55,2352)=0,"┆",IF(COUNTIF($BF$50:$BF$55,2352)&gt;1,IF($BF$50=2352,$BE$50,"")&amp;IF($BF$51=2352,$BE$51,"")&amp;IF($BF$52=2352,$BE$52,"")&amp;IF($BF$53=2352,$BE$53,"")&amp;IF($BF$54=2352,$BE$54,"")&amp;IF($BF$55=2352,$BE$55,""),IF($BF$50=2352,$BG$50,"")&amp;IF($BF$51=2352,$BG$51,"")&amp;IF($BF$52=2352,$BG$52,"")&amp;IF($BF$53=2352,$BG$53,"")&amp;IF($BF$54=2352,$BG$54,"")&amp;IF($BF$55=2352,$BG$55,"")))</x:f>
        <x:v>┆</x:v>
      </x:c>
      <x:c r="BA23" s="150"/>
      <x:c r="BB23" s="202" t="str">
        <x:v>◉</x:v>
      </x:c>
      <x:c r="BC23" s="202" t="str">
        <x:v>◉</x:v>
      </x:c>
      <x:c r="BD23" s="109"/>
      <x:c r="BE23" s="336"/>
      <x:c r="BF23" s="337"/>
      <x:c r="BG23" s="422"/>
      <x:c r="BH23" s="422"/>
      <x:c r="BI23" s="422"/>
      <x:c r="BJ23" s="422"/>
      <x:c r="BK23" s="422"/>
      <x:c r="BL23" s="422"/>
      <x:c r="BM23" s="342"/>
      <x:c r="BN23" s="342"/>
      <x:c r="BO23" s="342"/>
      <x:c r="BP23" s="342"/>
      <x:c r="BQ23" s="342"/>
      <x:c r="BR23" s="342"/>
      <x:c r="BS23" s="343"/>
    </x:row>
    <x:row r="24" ht="13.5" customHeight="1">
      <x:c r="A24" s="130"/>
      <x:c r="B24" s="150"/>
      <x:c r="C24" s="408" t="str">
        <x:f>IF(COUNTIF($BF$50:$BF$55,2403)=0,"┆",IF(COUNTIF($BF$50:$BF$55,2403)&gt;1,IF($BF$50=2403,$BE$50,"")&amp;IF($BF$51=2403,$BE$51,"")&amp;IF($BF$52=2403,$BE$52,"")&amp;IF($BF$53=2403,$BE$53,"")&amp;IF($BF$54=2403,$BE$54,"")&amp;IF($BF$55=2403,$BE$55,""),IF($BF$50=2403,$BG$50,"")&amp;IF($BF$51=2403,$BG$51,"")&amp;IF($BF$52=2403,$BG$52,"")&amp;IF($BF$53=2403,$BG$53,"")&amp;IF($BF$54=2403,$BG$54,"")&amp;IF($BF$55=2403,$BG$55,"")))</x:f>
        <x:v>↑3</x:v>
      </x:c>
      <x:c r="D24" s="406" t="str">
        <x:f>IF(COUNTIF($BF$50:$BF$55,2404)=0,"18",IF(COUNTIF($BF$50:$BF$55,2404)&gt;1,IF($BF$50=2404,$BE$50,"")&amp;IF($BF$51=2404,$BE$51,"")&amp;IF($BF$52=2404,$BE$52,"")&amp;IF($BF$53=2404,$BE$53,"")&amp;IF($BF$54=2404,$BE$54,"")&amp;IF($BF$55=2404,$BE$55,""),IF($BF$50=2404,$BG$50,"")&amp;IF($BF$51=2404,$BG$51,"")&amp;IF($BF$52=2404,$BG$52,"")&amp;IF($BF$53=2404,$BG$53,"")&amp;IF($BF$54=2404,$BG$54,"")&amp;IF($BF$55=2404,$BG$55,"")))</x:f>
        <x:v>18</x:v>
      </x:c>
      <x:c r="E24" s="149"/>
      <x:c r="F24" s="132"/>
      <x:c r="G24" s="132"/>
      <x:c r="H24" s="132"/>
      <x:c r="I24" s="132"/>
      <x:c r="J24" s="132"/>
      <x:c r="K24" s="132"/>
      <x:c r="L24" s="132"/>
      <x:c r="M24" s="132"/>
      <x:c r="N24" s="132"/>
      <x:c r="O24" s="132"/>
      <x:c r="P24" s="236" t="str">
        <x:f>Drivers!B8</x:f>
        <x:v>赤焰</x:v>
      </x:c>
      <x:c r="Q24" s="237"/>
      <x:c r="R24" s="237"/>
      <x:c r="S24" s="237"/>
      <x:c r="T24" s="238"/>
      <x:c r="U24" s="236" t="str">
        <x:f>Drivers!B9</x:f>
        <x:v>蓝电</x:v>
      </x:c>
      <x:c r="V24" s="237"/>
      <x:c r="W24" s="237"/>
      <x:c r="X24" s="237"/>
      <x:c r="Y24" s="238"/>
      <x:c r="Z24" s="236" t="str">
        <x:f>Drivers!B10</x:f>
        <x:v>金翼</x:v>
      </x:c>
      <x:c r="AA24" s="237"/>
      <x:c r="AB24" s="237"/>
      <x:c r="AC24" s="237"/>
      <x:c r="AD24" s="238"/>
      <x:c r="AE24" s="236" t="str">
        <x:f>Drivers!B11</x:f>
        <x:v>紫影</x:v>
      </x:c>
      <x:c r="AF24" s="237"/>
      <x:c r="AG24" s="237"/>
      <x:c r="AH24" s="237"/>
      <x:c r="AI24" s="238"/>
      <x:c r="AJ24" s="236" t="str">
        <x:f>Drivers!B12</x:f>
        <x:v>青锋</x:v>
      </x:c>
      <x:c r="AK24" s="237"/>
      <x:c r="AL24" s="237"/>
      <x:c r="AM24" s="237"/>
      <x:c r="AN24" s="238"/>
      <x:c r="AO24" s="236" t="str">
        <x:f>Drivers!B13</x:f>
        <x:v>玫速</x:v>
      </x:c>
      <x:c r="AP24" s="237"/>
      <x:c r="AQ24" s="237"/>
      <x:c r="AR24" s="237"/>
      <x:c r="AS24" s="238"/>
      <x:c r="AT24" s="132"/>
      <x:c r="AU24" s="132"/>
      <x:c r="AV24" s="132"/>
      <x:c r="AW24" s="149"/>
      <x:c r="AX24" s="134"/>
      <x:c r="AY24" s="406" t="str">
        <x:f>IF(COUNTIF($BF$50:$BF$55,2451)=0,"95",IF(COUNTIF($BF$50:$BF$55,2451)&gt;1,IF($BF$50=2451,$BE$50,"")&amp;IF($BF$51=2451,$BE$51,"")&amp;IF($BF$52=2451,$BE$52,"")&amp;IF($BF$53=2451,$BE$53,"")&amp;IF($BF$54=2451,$BE$54,"")&amp;IF($BF$55=2451,$BE$55,""),IF($BF$50=2451,$BG$50,"")&amp;IF($BF$51=2451,$BG$51,"")&amp;IF($BF$52=2451,$BG$52,"")&amp;IF($BF$53=2451,$BG$53,"")&amp;IF($BF$54=2451,$BG$54,"")&amp;IF($BF$55=2451,$BG$55,"")))</x:f>
        <x:v>95</x:v>
      </x:c>
      <x:c r="AZ24" s="408" t="str">
        <x:f>IF(COUNTIF($BF$50:$BF$55,2452)=0,"┆",IF(COUNTIF($BF$50:$BF$55,2452)&gt;1,IF($BF$50=2452,$BE$50,"")&amp;IF($BF$51=2452,$BE$51,"")&amp;IF($BF$52=2452,$BE$52,"")&amp;IF($BF$53=2452,$BE$53,"")&amp;IF($BF$54=2452,$BE$54,"")&amp;IF($BF$55=2452,$BE$55,""),IF($BF$50=2452,$BG$50,"")&amp;IF($BF$51=2452,$BG$51,"")&amp;IF($BF$52=2452,$BG$52,"")&amp;IF($BF$53=2452,$BG$53,"")&amp;IF($BF$54=2452,$BG$54,"")&amp;IF($BF$55=2452,$BG$55,"")))</x:f>
        <x:v>┆</x:v>
      </x:c>
      <x:c r="BA24" s="149"/>
      <x:c r="BB24" s="202" t="str">
        <x:v>◉</x:v>
      </x:c>
      <x:c r="BC24" s="202" t="str">
        <x:v>◉</x:v>
      </x:c>
      <x:c r="BD24" s="109"/>
      <x:c r="BE24" s="346" t="n">
        <x:f>Live!A20</x:f>
        <x:v>2</x:v>
      </x:c>
      <x:c r="BF24" s="347"/>
      <x:c r="BG24" s="424" t="str">
        <x:f>TEXT(Live!B20,"00")&amp;"  "&amp;Live!C20</x:f>
        <x:v>06  玫速</x:v>
      </x:c>
      <x:c r="BH24" s="424"/>
      <x:c r="BI24" s="424"/>
      <x:c r="BJ24" s="424"/>
      <x:c r="BK24" s="424"/>
      <x:c r="BL24" s="424"/>
      <x:c r="BM24" s="350" t="str">
        <x:f>IF(Live!I20&gt;=1,"END",Live!E20&amp;"/"&amp;Control!$B$6)</x:f>
        <x:v>4/5</x:v>
      </x:c>
      <x:c r="BN24" s="350"/>
      <x:c r="BO24" s="350"/>
      <x:c r="BP24" s="350" t="str">
        <x:f>IF(Live!I20&gt;=1,TEXT(Live!J20,"0.00")&amp;"s",IF(Live!A20=1,"LEAD","+"&amp;TEXT(Live!G20,"0.0")))</x:f>
        <x:v>+3.5</x:v>
      </x:c>
      <x:c r="BQ24" s="350"/>
      <x:c r="BR24" s="350"/>
      <x:c r="BS24" s="351"/>
    </x:row>
    <x:row r="25" ht="13.5" customHeight="1">
      <x:c r="A25" s="130"/>
      <x:c r="B25" s="149"/>
      <x:c r="C25" s="408" t="str">
        <x:f>IF(COUNTIF($BF$50:$BF$55,2503)=0,"┆",IF(COUNTIF($BF$50:$BF$55,2503)&gt;1,IF($BF$50=2503,$BE$50,"")&amp;IF($BF$51=2503,$BE$51,"")&amp;IF($BF$52=2503,$BE$52,"")&amp;IF($BF$53=2503,$BE$53,"")&amp;IF($BF$54=2503,$BE$54,"")&amp;IF($BF$55=2503,$BE$55,""),IF($BF$50=2503,$BG$50,"")&amp;IF($BF$51=2503,$BG$51,"")&amp;IF($BF$52=2503,$BG$52,"")&amp;IF($BF$53=2503,$BG$53,"")&amp;IF($BF$54=2503,$BG$54,"")&amp;IF($BF$55=2503,$BG$55,"")))</x:f>
        <x:v>┆</x:v>
      </x:c>
      <x:c r="D25" s="406" t="str">
        <x:f>IF(COUNTIF($BF$50:$BF$55,2504)=0,"17",IF(COUNTIF($BF$50:$BF$55,2504)&gt;1,IF($BF$50=2504,$BE$50,"")&amp;IF($BF$51=2504,$BE$51,"")&amp;IF($BF$52=2504,$BE$52,"")&amp;IF($BF$53=2504,$BE$53,"")&amp;IF($BF$54=2504,$BE$54,"")&amp;IF($BF$55=2504,$BE$55,""),IF($BF$50=2504,$BG$50,"")&amp;IF($BF$51=2504,$BG$51,"")&amp;IF($BF$52=2504,$BG$52,"")&amp;IF($BF$53=2504,$BG$53,"")&amp;IF($BF$54=2504,$BG$54,"")&amp;IF($BF$55=2504,$BG$55,"")))</x:f>
        <x:v>17</x:v>
      </x:c>
      <x:c r="E25" s="150"/>
      <x:c r="F25" s="132"/>
      <x:c r="G25" s="132"/>
      <x:c r="H25" s="132"/>
      <x:c r="I25" s="132"/>
      <x:c r="J25" s="132"/>
      <x:c r="K25" s="132"/>
      <x:c r="L25" s="132"/>
      <x:c r="M25" s="132"/>
      <x:c r="N25" s="132"/>
      <x:c r="O25" s="132"/>
      <x:c r="P25" s="242" t="str">
        <x:f>IF(Live!N8&gt;0,"P"&amp;Live!P8&amp;"  "&amp;TEXT(Live!N8*Control!B5,"0.00")&amp;"s","—")</x:f>
        <x:v>—</x:v>
      </x:c>
      <x:c r="Q25" s="243"/>
      <x:c r="R25" s="243"/>
      <x:c r="S25" s="243"/>
      <x:c r="T25" s="244"/>
      <x:c r="U25" s="242" t="str">
        <x:f>IF(Live!N9&gt;0,"P"&amp;Live!P9&amp;"  "&amp;TEXT(Live!N9*Control!B5,"0.00")&amp;"s","—")</x:f>
        <x:v>—</x:v>
      </x:c>
      <x:c r="V25" s="243"/>
      <x:c r="W25" s="243"/>
      <x:c r="X25" s="243"/>
      <x:c r="Y25" s="244"/>
      <x:c r="Z25" s="242" t="str">
        <x:f>IF(Live!N10&gt;0,"P"&amp;Live!P10&amp;"  "&amp;TEXT(Live!N10*Control!B5,"0.00")&amp;"s","—")</x:f>
        <x:v>—</x:v>
      </x:c>
      <x:c r="AA25" s="243"/>
      <x:c r="AB25" s="243"/>
      <x:c r="AC25" s="243"/>
      <x:c r="AD25" s="244"/>
      <x:c r="AE25" s="242" t="str">
        <x:f>IF(Live!N11&gt;0,"P"&amp;Live!P11&amp;"  "&amp;TEXT(Live!N11*Control!B5,"0.00")&amp;"s","—")</x:f>
        <x:v>—</x:v>
      </x:c>
      <x:c r="AF25" s="243"/>
      <x:c r="AG25" s="243"/>
      <x:c r="AH25" s="243"/>
      <x:c r="AI25" s="244"/>
      <x:c r="AJ25" s="242" t="str">
        <x:f>IF(Live!N12&gt;0,"P"&amp;Live!P12&amp;"  "&amp;TEXT(Live!N12*Control!B5,"0.00")&amp;"s","—")</x:f>
        <x:v>—</x:v>
      </x:c>
      <x:c r="AK25" s="243"/>
      <x:c r="AL25" s="243"/>
      <x:c r="AM25" s="243"/>
      <x:c r="AN25" s="244"/>
      <x:c r="AO25" s="242" t="str">
        <x:f>IF(Live!N13&gt;0,"P"&amp;Live!P13&amp;"  "&amp;TEXT(Live!N13*Control!B5,"0.00")&amp;"s","—")</x:f>
        <x:v>—</x:v>
      </x:c>
      <x:c r="AP25" s="243"/>
      <x:c r="AQ25" s="243"/>
      <x:c r="AR25" s="243"/>
      <x:c r="AS25" s="244"/>
      <x:c r="AT25" s="132"/>
      <x:c r="AU25" s="132"/>
      <x:c r="AV25" s="132"/>
      <x:c r="AW25" s="150"/>
      <x:c r="AX25" s="134"/>
      <x:c r="AY25" s="406" t="str">
        <x:f>IF(COUNTIF($BF$50:$BF$55,2551)=0,"96",IF(COUNTIF($BF$50:$BF$55,2551)&gt;1,IF($BF$50=2551,$BE$50,"")&amp;IF($BF$51=2551,$BE$51,"")&amp;IF($BF$52=2551,$BE$52,"")&amp;IF($BF$53=2551,$BE$53,"")&amp;IF($BF$54=2551,$BE$54,"")&amp;IF($BF$55=2551,$BE$55,""),IF($BF$50=2551,$BG$50,"")&amp;IF($BF$51=2551,$BG$51,"")&amp;IF($BF$52=2551,$BG$52,"")&amp;IF($BF$53=2551,$BG$53,"")&amp;IF($BF$54=2551,$BG$54,"")&amp;IF($BF$55=2551,$BG$55,"")))</x:f>
        <x:v>96</x:v>
      </x:c>
      <x:c r="AZ25" s="408" t="str">
        <x:f>IF(COUNTIF($BF$50:$BF$55,2552)=0,"┆",IF(COUNTIF($BF$50:$BF$55,2552)&gt;1,IF($BF$50=2552,$BE$50,"")&amp;IF($BF$51=2552,$BE$51,"")&amp;IF($BF$52=2552,$BE$52,"")&amp;IF($BF$53=2552,$BE$53,"")&amp;IF($BF$54=2552,$BE$54,"")&amp;IF($BF$55=2552,$BE$55,""),IF($BF$50=2552,$BG$50,"")&amp;IF($BF$51=2552,$BG$51,"")&amp;IF($BF$52=2552,$BG$52,"")&amp;IF($BF$53=2552,$BG$53,"")&amp;IF($BF$54=2552,$BG$54,"")&amp;IF($BF$55=2552,$BG$55,"")))</x:f>
        <x:v>┆</x:v>
      </x:c>
      <x:c r="BA25" s="150"/>
      <x:c r="BB25" s="202" t="str">
        <x:v>◉</x:v>
      </x:c>
      <x:c r="BC25" s="202" t="str">
        <x:v>◉</x:v>
      </x:c>
      <x:c r="BD25" s="109"/>
      <x:c r="BE25" s="346"/>
      <x:c r="BF25" s="347"/>
      <x:c r="BG25" s="424"/>
      <x:c r="BH25" s="424"/>
      <x:c r="BI25" s="424"/>
      <x:c r="BJ25" s="424"/>
      <x:c r="BK25" s="424"/>
      <x:c r="BL25" s="424"/>
      <x:c r="BM25" s="350"/>
      <x:c r="BN25" s="350"/>
      <x:c r="BO25" s="350"/>
      <x:c r="BP25" s="350"/>
      <x:c r="BQ25" s="350"/>
      <x:c r="BR25" s="350"/>
      <x:c r="BS25" s="351"/>
    </x:row>
    <x:row r="26" ht="13.5" customHeight="1">
      <x:c r="A26" s="130"/>
      <x:c r="B26" s="150"/>
      <x:c r="C26" s="408" t="str">
        <x:f>IF(COUNTIF($BF$50:$BF$55,2603)=0,"┆",IF(COUNTIF($BF$50:$BF$55,2603)&gt;1,IF($BF$50=2603,$BE$50,"")&amp;IF($BF$51=2603,$BE$51,"")&amp;IF($BF$52=2603,$BE$52,"")&amp;IF($BF$53=2603,$BE$53,"")&amp;IF($BF$54=2603,$BE$54,"")&amp;IF($BF$55=2603,$BE$55,""),IF($BF$50=2603,$BG$50,"")&amp;IF($BF$51=2603,$BG$51,"")&amp;IF($BF$52=2603,$BG$52,"")&amp;IF($BF$53=2603,$BG$53,"")&amp;IF($BF$54=2603,$BG$54,"")&amp;IF($BF$55=2603,$BG$55,"")))</x:f>
        <x:v>┆</x:v>
      </x:c>
      <x:c r="D26" s="406" t="str">
        <x:f>IF(COUNTIF($BF$50:$BF$55,2604)=0,"16",IF(COUNTIF($BF$50:$BF$55,2604)&gt;1,IF($BF$50=2604,$BE$50,"")&amp;IF($BF$51=2604,$BE$51,"")&amp;IF($BF$52=2604,$BE$52,"")&amp;IF($BF$53=2604,$BE$53,"")&amp;IF($BF$54=2604,$BE$54,"")&amp;IF($BF$55=2604,$BE$55,""),IF($BF$50=2604,$BG$50,"")&amp;IF($BF$51=2604,$BG$51,"")&amp;IF($BF$52=2604,$BG$52,"")&amp;IF($BF$53=2604,$BG$53,"")&amp;IF($BF$54=2604,$BG$54,"")&amp;IF($BF$55=2604,$BG$55,"")))</x:f>
        <x:v>16</x:v>
      </x:c>
      <x:c r="E26" s="149"/>
      <x:c r="F26" s="132"/>
      <x:c r="G26" s="132"/>
      <x:c r="H26" s="132"/>
      <x:c r="I26" s="132"/>
      <x:c r="J26" s="132"/>
      <x:c r="K26" s="132"/>
      <x:c r="L26" s="132"/>
      <x:c r="M26" s="132"/>
      <x:c r="N26" s="132"/>
      <x:c r="O26" s="132"/>
      <x:c r="P26" s="132"/>
      <x:c r="Q26" s="132"/>
      <x:c r="R26" s="132"/>
      <x:c r="S26" s="132"/>
      <x:c r="T26" s="132"/>
      <x:c r="U26" s="132"/>
      <x:c r="V26" s="132"/>
      <x:c r="W26" s="132"/>
      <x:c r="X26" s="132"/>
      <x:c r="Y26" s="132"/>
      <x:c r="Z26" s="132"/>
      <x:c r="AA26" s="132"/>
      <x:c r="AB26" s="132"/>
      <x:c r="AC26" s="132"/>
      <x:c r="AD26" s="132"/>
      <x:c r="AE26" s="132"/>
      <x:c r="AF26" s="132"/>
      <x:c r="AG26" s="132"/>
      <x:c r="AH26" s="132"/>
      <x:c r="AI26" s="132"/>
      <x:c r="AJ26" s="132"/>
      <x:c r="AK26" s="132"/>
      <x:c r="AL26" s="132"/>
      <x:c r="AM26" s="132"/>
      <x:c r="AN26" s="132"/>
      <x:c r="AO26" s="132"/>
      <x:c r="AP26" s="132"/>
      <x:c r="AQ26" s="132"/>
      <x:c r="AR26" s="132"/>
      <x:c r="AS26" s="132"/>
      <x:c r="AT26" s="132"/>
      <x:c r="AU26" s="132"/>
      <x:c r="AV26" s="132"/>
      <x:c r="AW26" s="149"/>
      <x:c r="AX26" s="134"/>
      <x:c r="AY26" s="406" t="str">
        <x:f>IF(COUNTIF($BF$50:$BF$55,2651)=0,"97",IF(COUNTIF($BF$50:$BF$55,2651)&gt;1,IF($BF$50=2651,$BE$50,"")&amp;IF($BF$51=2651,$BE$51,"")&amp;IF($BF$52=2651,$BE$52,"")&amp;IF($BF$53=2651,$BE$53,"")&amp;IF($BF$54=2651,$BE$54,"")&amp;IF($BF$55=2651,$BE$55,""),IF($BF$50=2651,$BG$50,"")&amp;IF($BF$51=2651,$BG$51,"")&amp;IF($BF$52=2651,$BG$52,"")&amp;IF($BF$53=2651,$BG$53,"")&amp;IF($BF$54=2651,$BG$54,"")&amp;IF($BF$55=2651,$BG$55,"")))</x:f>
        <x:v>97</x:v>
      </x:c>
      <x:c r="AZ26" s="408" t="str">
        <x:f>IF(COUNTIF($BF$50:$BF$55,2652)=0,"┆",IF(COUNTIF($BF$50:$BF$55,2652)&gt;1,IF($BF$50=2652,$BE$50,"")&amp;IF($BF$51=2652,$BE$51,"")&amp;IF($BF$52=2652,$BE$52,"")&amp;IF($BF$53=2652,$BE$53,"")&amp;IF($BF$54=2652,$BE$54,"")&amp;IF($BF$55=2652,$BE$55,""),IF($BF$50=2652,$BG$50,"")&amp;IF($BF$51=2652,$BG$51,"")&amp;IF($BF$52=2652,$BG$52,"")&amp;IF($BF$53=2652,$BG$53,"")&amp;IF($BF$54=2652,$BG$54,"")&amp;IF($BF$55=2652,$BG$55,"")))</x:f>
        <x:v>┆</x:v>
      </x:c>
      <x:c r="BA26" s="149"/>
      <x:c r="BB26" s="202" t="str">
        <x:v>◉</x:v>
      </x:c>
      <x:c r="BC26" s="202" t="str">
        <x:v>◉</x:v>
      </x:c>
      <x:c r="BD26" s="109"/>
      <x:c r="BE26" s="336" t="n">
        <x:f>Live!A21</x:f>
        <x:v>3</x:v>
      </x:c>
      <x:c r="BF26" s="337"/>
      <x:c r="BG26" s="422" t="str">
        <x:f>TEXT(Live!B21,"00")&amp;"  "&amp;Live!C21</x:f>
        <x:v>05  青锋</x:v>
      </x:c>
      <x:c r="BH26" s="422"/>
      <x:c r="BI26" s="422"/>
      <x:c r="BJ26" s="422"/>
      <x:c r="BK26" s="422"/>
      <x:c r="BL26" s="422"/>
      <x:c r="BM26" s="342" t="str">
        <x:f>IF(Live!I21&gt;=1,"END",Live!E21&amp;"/"&amp;Control!$B$6)</x:f>
        <x:v>4/5</x:v>
      </x:c>
      <x:c r="BN26" s="342"/>
      <x:c r="BO26" s="342"/>
      <x:c r="BP26" s="342" t="str">
        <x:f>IF(Live!I21&gt;=1,TEXT(Live!J21,"0.00")&amp;"s",IF(Live!A21=1,"LEAD","+"&amp;TEXT(Live!G21,"0.0")))</x:f>
        <x:v>+8.7</x:v>
      </x:c>
      <x:c r="BQ26" s="342"/>
      <x:c r="BR26" s="342"/>
      <x:c r="BS26" s="343"/>
    </x:row>
    <x:row r="27" ht="13.5" customHeight="1">
      <x:c r="A27" s="130"/>
      <x:c r="B27" s="149"/>
      <x:c r="C27" s="408" t="str">
        <x:f>IF(COUNTIF($BF$50:$BF$55,2703)=0,"┆",IF(COUNTIF($BF$50:$BF$55,2703)&gt;1,IF($BF$50=2703,$BE$50,"")&amp;IF($BF$51=2703,$BE$51,"")&amp;IF($BF$52=2703,$BE$52,"")&amp;IF($BF$53=2703,$BE$53,"")&amp;IF($BF$54=2703,$BE$54,"")&amp;IF($BF$55=2703,$BE$55,""),IF($BF$50=2703,$BG$50,"")&amp;IF($BF$51=2703,$BG$51,"")&amp;IF($BF$52=2703,$BG$52,"")&amp;IF($BF$53=2703,$BG$53,"")&amp;IF($BF$54=2703,$BG$54,"")&amp;IF($BF$55=2703,$BG$55,"")))</x:f>
        <x:v>┆</x:v>
      </x:c>
      <x:c r="D27" s="406" t="str">
        <x:f>IF(COUNTIF($BF$50:$BF$55,2704)=0,"15",IF(COUNTIF($BF$50:$BF$55,2704)&gt;1,IF($BF$50=2704,$BE$50,"")&amp;IF($BF$51=2704,$BE$51,"")&amp;IF($BF$52=2704,$BE$52,"")&amp;IF($BF$53=2704,$BE$53,"")&amp;IF($BF$54=2704,$BE$54,"")&amp;IF($BF$55=2704,$BE$55,""),IF($BF$50=2704,$BG$50,"")&amp;IF($BF$51=2704,$BG$51,"")&amp;IF($BF$52=2704,$BG$52,"")&amp;IF($BF$53=2704,$BG$53,"")&amp;IF($BF$54=2704,$BG$54,"")&amp;IF($BF$55=2704,$BG$55,"")))</x:f>
        <x:v>↑6</x:v>
      </x:c>
      <x:c r="E27" s="150"/>
      <x:c r="F27" s="200" t="str">
        <x:v>◉</x:v>
      </x:c>
      <x:c r="G27" s="200" t="str">
        <x:v>◉</x:v>
      </x:c>
      <x:c r="H27" s="200" t="str">
        <x:v>◉</x:v>
      </x:c>
      <x:c r="I27" s="200" t="str">
        <x:v>◉</x:v>
      </x:c>
      <x:c r="J27" s="200" t="str">
        <x:v>◉</x:v>
      </x:c>
      <x:c r="K27" s="200" t="str">
        <x:v>◉</x:v>
      </x:c>
      <x:c r="L27" s="200" t="str">
        <x:v>◉</x:v>
      </x:c>
      <x:c r="M27" s="200" t="str">
        <x:v>◉</x:v>
      </x:c>
      <x:c r="N27" s="200" t="str">
        <x:v>◉</x:v>
      </x:c>
      <x:c r="O27" s="200" t="str">
        <x:v>◉</x:v>
      </x:c>
      <x:c r="P27" s="200" t="str">
        <x:v>◉</x:v>
      </x:c>
      <x:c r="Q27" s="200" t="str">
        <x:v>◉</x:v>
      </x:c>
      <x:c r="R27" s="200" t="str">
        <x:v>◉</x:v>
      </x:c>
      <x:c r="S27" s="200" t="str">
        <x:v>◉</x:v>
      </x:c>
      <x:c r="T27" s="200" t="str">
        <x:v>◉</x:v>
      </x:c>
      <x:c r="U27" s="200" t="str">
        <x:v>◉</x:v>
      </x:c>
      <x:c r="V27" s="200" t="str">
        <x:v>◉</x:v>
      </x:c>
      <x:c r="W27" s="200" t="str">
        <x:v>◉</x:v>
      </x:c>
      <x:c r="X27" s="200" t="str">
        <x:v>◉</x:v>
      </x:c>
      <x:c r="Y27" s="200" t="str">
        <x:v>◉</x:v>
      </x:c>
      <x:c r="Z27" s="200" t="str">
        <x:v>◉</x:v>
      </x:c>
      <x:c r="AA27" s="200" t="str">
        <x:v>◉</x:v>
      </x:c>
      <x:c r="AB27" s="200" t="str">
        <x:v>◉</x:v>
      </x:c>
      <x:c r="AC27" s="200" t="str">
        <x:v>◉</x:v>
      </x:c>
      <x:c r="AD27" s="200" t="str">
        <x:v>◉</x:v>
      </x:c>
      <x:c r="AE27" s="200" t="str">
        <x:v>◉</x:v>
      </x:c>
      <x:c r="AF27" s="200" t="str">
        <x:v>◉</x:v>
      </x:c>
      <x:c r="AG27" s="200" t="str">
        <x:v>◉</x:v>
      </x:c>
      <x:c r="AH27" s="200" t="str">
        <x:v>◉</x:v>
      </x:c>
      <x:c r="AI27" s="200" t="str">
        <x:v>◉</x:v>
      </x:c>
      <x:c r="AJ27" s="200" t="str">
        <x:v>◉</x:v>
      </x:c>
      <x:c r="AK27" s="200" t="str">
        <x:v>◉</x:v>
      </x:c>
      <x:c r="AL27" s="200" t="str">
        <x:v>◉</x:v>
      </x:c>
      <x:c r="AM27" s="200" t="str">
        <x:v>◉</x:v>
      </x:c>
      <x:c r="AN27" s="200" t="str">
        <x:v>◉</x:v>
      </x:c>
      <x:c r="AO27" s="200" t="str">
        <x:v>◉</x:v>
      </x:c>
      <x:c r="AP27" s="200" t="str">
        <x:v>◉</x:v>
      </x:c>
      <x:c r="AQ27" s="200" t="str">
        <x:v>◉</x:v>
      </x:c>
      <x:c r="AR27" s="200" t="str">
        <x:v>◉</x:v>
      </x:c>
      <x:c r="AS27" s="200" t="str">
        <x:v>◉</x:v>
      </x:c>
      <x:c r="AT27" s="200" t="str">
        <x:v>◉</x:v>
      </x:c>
      <x:c r="AU27" s="200" t="str">
        <x:v>◉</x:v>
      </x:c>
      <x:c r="AV27" s="200" t="str">
        <x:v>◉</x:v>
      </x:c>
      <x:c r="AW27" s="150"/>
      <x:c r="AX27" s="134"/>
      <x:c r="AY27" s="406" t="str">
        <x:f>IF(COUNTIF($BF$50:$BF$55,2751)=0,"98",IF(COUNTIF($BF$50:$BF$55,2751)&gt;1,IF($BF$50=2751,$BE$50,"")&amp;IF($BF$51=2751,$BE$51,"")&amp;IF($BF$52=2751,$BE$52,"")&amp;IF($BF$53=2751,$BE$53,"")&amp;IF($BF$54=2751,$BE$54,"")&amp;IF($BF$55=2751,$BE$55,""),IF($BF$50=2751,$BG$50,"")&amp;IF($BF$51=2751,$BG$51,"")&amp;IF($BF$52=2751,$BG$52,"")&amp;IF($BF$53=2751,$BG$53,"")&amp;IF($BF$54=2751,$BG$54,"")&amp;IF($BF$55=2751,$BG$55,"")))</x:f>
        <x:v>98</x:v>
      </x:c>
      <x:c r="AZ27" s="408" t="str">
        <x:f>IF(COUNTIF($BF$50:$BF$55,2752)=0,"┆",IF(COUNTIF($BF$50:$BF$55,2752)&gt;1,IF($BF$50=2752,$BE$50,"")&amp;IF($BF$51=2752,$BE$51,"")&amp;IF($BF$52=2752,$BE$52,"")&amp;IF($BF$53=2752,$BE$53,"")&amp;IF($BF$54=2752,$BE$54,"")&amp;IF($BF$55=2752,$BE$55,""),IF($BF$50=2752,$BG$50,"")&amp;IF($BF$51=2752,$BG$51,"")&amp;IF($BF$52=2752,$BG$52,"")&amp;IF($BF$53=2752,$BG$53,"")&amp;IF($BF$54=2752,$BG$54,"")&amp;IF($BF$55=2752,$BG$55,"")))</x:f>
        <x:v>┆</x:v>
      </x:c>
      <x:c r="BA27" s="150"/>
      <x:c r="BB27" s="202" t="str">
        <x:v>◉</x:v>
      </x:c>
      <x:c r="BC27" s="202" t="str">
        <x:v>◉</x:v>
      </x:c>
      <x:c r="BD27" s="109"/>
      <x:c r="BE27" s="336"/>
      <x:c r="BF27" s="337"/>
      <x:c r="BG27" s="422"/>
      <x:c r="BH27" s="422"/>
      <x:c r="BI27" s="422"/>
      <x:c r="BJ27" s="422"/>
      <x:c r="BK27" s="422"/>
      <x:c r="BL27" s="422"/>
      <x:c r="BM27" s="342"/>
      <x:c r="BN27" s="342"/>
      <x:c r="BO27" s="342"/>
      <x:c r="BP27" s="342"/>
      <x:c r="BQ27" s="342"/>
      <x:c r="BR27" s="342"/>
      <x:c r="BS27" s="343"/>
    </x:row>
    <x:row r="28" ht="13.5" customHeight="1">
      <x:c r="A28" s="130"/>
      <x:c r="B28" s="150"/>
      <x:c r="C28" s="408" t="str">
        <x:f>IF(COUNTIF($BF$50:$BF$55,2803)=0,"┆",IF(COUNTIF($BF$50:$BF$55,2803)&gt;1,IF($BF$50=2803,$BE$50,"")&amp;IF($BF$51=2803,$BE$51,"")&amp;IF($BF$52=2803,$BE$52,"")&amp;IF($BF$53=2803,$BE$53,"")&amp;IF($BF$54=2803,$BE$54,"")&amp;IF($BF$55=2803,$BE$55,""),IF($BF$50=2803,$BG$50,"")&amp;IF($BF$51=2803,$BG$51,"")&amp;IF($BF$52=2803,$BG$52,"")&amp;IF($BF$53=2803,$BG$53,"")&amp;IF($BF$54=2803,$BG$54,"")&amp;IF($BF$55=2803,$BG$55,"")))</x:f>
        <x:v>┆</x:v>
      </x:c>
      <x:c r="D28" s="406" t="str">
        <x:f>IF(COUNTIF($BF$50:$BF$55,2804)=0,"14",IF(COUNTIF($BF$50:$BF$55,2804)&gt;1,IF($BF$50=2804,$BE$50,"")&amp;IF($BF$51=2804,$BE$51,"")&amp;IF($BF$52=2804,$BE$52,"")&amp;IF($BF$53=2804,$BE$53,"")&amp;IF($BF$54=2804,$BE$54,"")&amp;IF($BF$55=2804,$BE$55,""),IF($BF$50=2804,$BG$50,"")&amp;IF($BF$51=2804,$BG$51,"")&amp;IF($BF$52=2804,$BG$52,"")&amp;IF($BF$53=2804,$BG$53,"")&amp;IF($BF$54=2804,$BG$54,"")&amp;IF($BF$55=2804,$BG$55,"")))</x:f>
        <x:v>14</x:v>
      </x:c>
      <x:c r="E28" s="149"/>
      <x:c r="F28" s="200" t="str">
        <x:v>◉</x:v>
      </x:c>
      <x:c r="G28" s="200" t="str">
        <x:v>◉</x:v>
      </x:c>
      <x:c r="H28" s="200" t="str">
        <x:v>◉</x:v>
      </x:c>
      <x:c r="I28" s="200" t="str">
        <x:v>◉</x:v>
      </x:c>
      <x:c r="J28" s="200" t="str">
        <x:v>◉</x:v>
      </x:c>
      <x:c r="K28" s="200" t="str">
        <x:v>◉</x:v>
      </x:c>
      <x:c r="L28" s="200" t="str">
        <x:v>◉</x:v>
      </x:c>
      <x:c r="M28" s="200" t="str">
        <x:v>◉</x:v>
      </x:c>
      <x:c r="N28" s="200" t="str">
        <x:v>◉</x:v>
      </x:c>
      <x:c r="O28" s="200" t="str">
        <x:v>◉</x:v>
      </x:c>
      <x:c r="P28" s="200" t="str">
        <x:v>◉</x:v>
      </x:c>
      <x:c r="Q28" s="200" t="str">
        <x:v>◉</x:v>
      </x:c>
      <x:c r="R28" s="200" t="str">
        <x:v>◉</x:v>
      </x:c>
      <x:c r="S28" s="200" t="str">
        <x:v>◉</x:v>
      </x:c>
      <x:c r="T28" s="200" t="str">
        <x:v>◉</x:v>
      </x:c>
      <x:c r="U28" s="200" t="str">
        <x:v>◉</x:v>
      </x:c>
      <x:c r="V28" s="200" t="str">
        <x:v>◉</x:v>
      </x:c>
      <x:c r="W28" s="200" t="str">
        <x:v>◉</x:v>
      </x:c>
      <x:c r="X28" s="200" t="str">
        <x:v>◉</x:v>
      </x:c>
      <x:c r="Y28" s="200" t="str">
        <x:v>◉</x:v>
      </x:c>
      <x:c r="Z28" s="200" t="str">
        <x:v>◉</x:v>
      </x:c>
      <x:c r="AA28" s="200" t="str">
        <x:v>◉</x:v>
      </x:c>
      <x:c r="AB28" s="200" t="str">
        <x:v>◉</x:v>
      </x:c>
      <x:c r="AC28" s="200" t="str">
        <x:v>◉</x:v>
      </x:c>
      <x:c r="AD28" s="200" t="str">
        <x:v>◉</x:v>
      </x:c>
      <x:c r="AE28" s="200" t="str">
        <x:v>◉</x:v>
      </x:c>
      <x:c r="AF28" s="200" t="str">
        <x:v>◉</x:v>
      </x:c>
      <x:c r="AG28" s="200" t="str">
        <x:v>◉</x:v>
      </x:c>
      <x:c r="AH28" s="200" t="str">
        <x:v>◉</x:v>
      </x:c>
      <x:c r="AI28" s="200" t="str">
        <x:v>◉</x:v>
      </x:c>
      <x:c r="AJ28" s="200" t="str">
        <x:v>◉</x:v>
      </x:c>
      <x:c r="AK28" s="200" t="str">
        <x:v>◉</x:v>
      </x:c>
      <x:c r="AL28" s="200" t="str">
        <x:v>◉</x:v>
      </x:c>
      <x:c r="AM28" s="200" t="str">
        <x:v>◉</x:v>
      </x:c>
      <x:c r="AN28" s="200" t="str">
        <x:v>◉</x:v>
      </x:c>
      <x:c r="AO28" s="200" t="str">
        <x:v>◉</x:v>
      </x:c>
      <x:c r="AP28" s="200" t="str">
        <x:v>◉</x:v>
      </x:c>
      <x:c r="AQ28" s="200" t="str">
        <x:v>◉</x:v>
      </x:c>
      <x:c r="AR28" s="200" t="str">
        <x:v>◉</x:v>
      </x:c>
      <x:c r="AS28" s="200" t="str">
        <x:v>◉</x:v>
      </x:c>
      <x:c r="AT28" s="200" t="str">
        <x:v>◉</x:v>
      </x:c>
      <x:c r="AU28" s="200" t="str">
        <x:v>◉</x:v>
      </x:c>
      <x:c r="AV28" s="200" t="str">
        <x:v>◉</x:v>
      </x:c>
      <x:c r="AW28" s="149"/>
      <x:c r="AX28" s="134"/>
      <x:c r="AY28" s="406" t="str">
        <x:f>IF(COUNTIF($BF$50:$BF$55,2851)=0,"99",IF(COUNTIF($BF$50:$BF$55,2851)&gt;1,IF($BF$50=2851,$BE$50,"")&amp;IF($BF$51=2851,$BE$51,"")&amp;IF($BF$52=2851,$BE$52,"")&amp;IF($BF$53=2851,$BE$53,"")&amp;IF($BF$54=2851,$BE$54,"")&amp;IF($BF$55=2851,$BE$55,""),IF($BF$50=2851,$BG$50,"")&amp;IF($BF$51=2851,$BG$51,"")&amp;IF($BF$52=2851,$BG$52,"")&amp;IF($BF$53=2851,$BG$53,"")&amp;IF($BF$54=2851,$BG$54,"")&amp;IF($BF$55=2851,$BG$55,"")))</x:f>
        <x:v>99</x:v>
      </x:c>
      <x:c r="AZ28" s="408" t="str">
        <x:f>IF(COUNTIF($BF$50:$BF$55,2852)=0,"┆",IF(COUNTIF($BF$50:$BF$55,2852)&gt;1,IF($BF$50=2852,$BE$50,"")&amp;IF($BF$51=2852,$BE$51,"")&amp;IF($BF$52=2852,$BE$52,"")&amp;IF($BF$53=2852,$BE$53,"")&amp;IF($BF$54=2852,$BE$54,"")&amp;IF($BF$55=2852,$BE$55,""),IF($BF$50=2852,$BG$50,"")&amp;IF($BF$51=2852,$BG$51,"")&amp;IF($BF$52=2852,$BG$52,"")&amp;IF($BF$53=2852,$BG$53,"")&amp;IF($BF$54=2852,$BG$54,"")&amp;IF($BF$55=2852,$BG$55,"")))</x:f>
        <x:v>┆</x:v>
      </x:c>
      <x:c r="BA28" s="149"/>
      <x:c r="BB28" s="202" t="str">
        <x:v>◉</x:v>
      </x:c>
      <x:c r="BC28" s="202" t="str">
        <x:v>◉</x:v>
      </x:c>
      <x:c r="BD28" s="109"/>
      <x:c r="BE28" s="346" t="n">
        <x:f>Live!A22</x:f>
        <x:v>4</x:v>
      </x:c>
      <x:c r="BF28" s="347"/>
      <x:c r="BG28" s="424" t="str">
        <x:f>TEXT(Live!B22,"00")&amp;"  "&amp;Live!C22</x:f>
        <x:v>01  赤焰</x:v>
      </x:c>
      <x:c r="BH28" s="424"/>
      <x:c r="BI28" s="424"/>
      <x:c r="BJ28" s="424"/>
      <x:c r="BK28" s="424"/>
      <x:c r="BL28" s="424"/>
      <x:c r="BM28" s="350" t="str">
        <x:f>IF(Live!I22&gt;=1,"END",Live!E22&amp;"/"&amp;Control!$B$6)</x:f>
        <x:v>4/5</x:v>
      </x:c>
      <x:c r="BN28" s="350"/>
      <x:c r="BO28" s="350"/>
      <x:c r="BP28" s="350" t="str">
        <x:f>IF(Live!I22&gt;=1,TEXT(Live!J22,"0.00")&amp;"s",IF(Live!A22=1,"LEAD","+"&amp;TEXT(Live!G22,"0.0")))</x:f>
        <x:v>+17.2</x:v>
      </x:c>
      <x:c r="BQ28" s="350"/>
      <x:c r="BR28" s="350"/>
      <x:c r="BS28" s="351"/>
    </x:row>
    <x:row r="29" ht="13.5" customHeight="1">
      <x:c r="A29" s="130"/>
      <x:c r="B29" s="149"/>
      <x:c r="C29" s="408" t="str">
        <x:f>IF(COUNTIF($BF$50:$BF$55,2903)=0,"┆",IF(COUNTIF($BF$50:$BF$55,2903)&gt;1,IF($BF$50=2903,$BE$50,"")&amp;IF($BF$51=2903,$BE$51,"")&amp;IF($BF$52=2903,$BE$52,"")&amp;IF($BF$53=2903,$BE$53,"")&amp;IF($BF$54=2903,$BE$54,"")&amp;IF($BF$55=2903,$BE$55,""),IF($BF$50=2903,$BG$50,"")&amp;IF($BF$51=2903,$BG$51,"")&amp;IF($BF$52=2903,$BG$52,"")&amp;IF($BF$53=2903,$BG$53,"")&amp;IF($BF$54=2903,$BG$54,"")&amp;IF($BF$55=2903,$BG$55,"")))</x:f>
        <x:v>┆</x:v>
      </x:c>
      <x:c r="D29" s="406" t="str">
        <x:f>IF(COUNTIF($BF$50:$BF$55,2904)=0,"13",IF(COUNTIF($BF$50:$BF$55,2904)&gt;1,IF($BF$50=2904,$BE$50,"")&amp;IF($BF$51=2904,$BE$51,"")&amp;IF($BF$52=2904,$BE$52,"")&amp;IF($BF$53=2904,$BE$53,"")&amp;IF($BF$54=2904,$BE$54,"")&amp;IF($BF$55=2904,$BE$55,""),IF($BF$50=2904,$BG$50,"")&amp;IF($BF$51=2904,$BG$51,"")&amp;IF($BF$52=2904,$BG$52,"")&amp;IF($BF$53=2904,$BG$53,"")&amp;IF($BF$54=2904,$BG$54,"")&amp;IF($BF$55=2904,$BG$55,"")))</x:f>
        <x:v>13</x:v>
      </x:c>
      <x:c r="E29" s="148"/>
      <x:c r="F29" s="141"/>
      <x:c r="G29" s="142"/>
      <x:c r="H29" s="141"/>
      <x:c r="I29" s="142"/>
      <x:c r="J29" s="141"/>
      <x:c r="K29" s="142"/>
      <x:c r="L29" s="141"/>
      <x:c r="M29" s="142"/>
      <x:c r="N29" s="141"/>
      <x:c r="O29" s="142"/>
      <x:c r="P29" s="141"/>
      <x:c r="Q29" s="142"/>
      <x:c r="R29" s="141"/>
      <x:c r="S29" s="142"/>
      <x:c r="T29" s="141"/>
      <x:c r="U29" s="142"/>
      <x:c r="V29" s="141"/>
      <x:c r="W29" s="142"/>
      <x:c r="X29" s="141"/>
      <x:c r="Y29" s="142"/>
      <x:c r="Z29" s="141"/>
      <x:c r="AA29" s="142"/>
      <x:c r="AB29" s="141"/>
      <x:c r="AC29" s="142"/>
      <x:c r="AD29" s="141"/>
      <x:c r="AE29" s="142"/>
      <x:c r="AF29" s="141"/>
      <x:c r="AG29" s="142"/>
      <x:c r="AH29" s="141"/>
      <x:c r="AI29" s="142"/>
      <x:c r="AJ29" s="141"/>
      <x:c r="AK29" s="142"/>
      <x:c r="AL29" s="141"/>
      <x:c r="AM29" s="142"/>
      <x:c r="AN29" s="141"/>
      <x:c r="AO29" s="142"/>
      <x:c r="AP29" s="141"/>
      <x:c r="AQ29" s="142"/>
      <x:c r="AR29" s="141"/>
      <x:c r="AS29" s="142"/>
      <x:c r="AT29" s="141"/>
      <x:c r="AU29" s="142"/>
      <x:c r="AV29" s="141"/>
      <x:c r="AW29" s="148"/>
      <x:c r="AX29" s="134"/>
      <x:c r="AY29" s="406" t="str">
        <x:f>IF(COUNTIF($BF$50:$BF$55,2951)=0,"100",IF(COUNTIF($BF$50:$BF$55,2951)&gt;1,IF($BF$50=2951,$BE$50,"")&amp;IF($BF$51=2951,$BE$51,"")&amp;IF($BF$52=2951,$BE$52,"")&amp;IF($BF$53=2951,$BE$53,"")&amp;IF($BF$54=2951,$BE$54,"")&amp;IF($BF$55=2951,$BE$55,""),IF($BF$50=2951,$BG$50,"")&amp;IF($BF$51=2951,$BG$51,"")&amp;IF($BF$52=2951,$BG$52,"")&amp;IF($BF$53=2951,$BG$53,"")&amp;IF($BF$54=2951,$BG$54,"")&amp;IF($BF$55=2951,$BG$55,"")))</x:f>
        <x:v>100</x:v>
      </x:c>
      <x:c r="AZ29" s="408" t="str">
        <x:f>IF(COUNTIF($BF$50:$BF$55,2952)=0,"┆",IF(COUNTIF($BF$50:$BF$55,2952)&gt;1,IF($BF$50=2952,$BE$50,"")&amp;IF($BF$51=2952,$BE$51,"")&amp;IF($BF$52=2952,$BE$52,"")&amp;IF($BF$53=2952,$BE$53,"")&amp;IF($BF$54=2952,$BE$54,"")&amp;IF($BF$55=2952,$BE$55,""),IF($BF$50=2952,$BG$50,"")&amp;IF($BF$51=2952,$BG$51,"")&amp;IF($BF$52=2952,$BG$52,"")&amp;IF($BF$53=2952,$BG$53,"")&amp;IF($BF$54=2952,$BG$54,"")&amp;IF($BF$55=2952,$BG$55,"")))</x:f>
        <x:v>┆</x:v>
      </x:c>
      <x:c r="BA29" s="150"/>
      <x:c r="BB29" s="202" t="str">
        <x:v>◉</x:v>
      </x:c>
      <x:c r="BC29" s="202" t="str">
        <x:v>◉</x:v>
      </x:c>
      <x:c r="BD29" s="109"/>
      <x:c r="BE29" s="346"/>
      <x:c r="BF29" s="347"/>
      <x:c r="BG29" s="424"/>
      <x:c r="BH29" s="424"/>
      <x:c r="BI29" s="424"/>
      <x:c r="BJ29" s="424"/>
      <x:c r="BK29" s="424"/>
      <x:c r="BL29" s="424"/>
      <x:c r="BM29" s="350"/>
      <x:c r="BN29" s="350"/>
      <x:c r="BO29" s="350"/>
      <x:c r="BP29" s="350"/>
      <x:c r="BQ29" s="350"/>
      <x:c r="BR29" s="350"/>
      <x:c r="BS29" s="351"/>
    </x:row>
    <x:row r="30" ht="13.5" customHeight="1">
      <x:c r="A30" s="130"/>
      <x:c r="B30" s="150"/>
      <x:c r="C30" s="168" t="str">
        <x:v>┆</x:v>
      </x:c>
      <x:c r="D30" s="134"/>
      <x:c r="E30" s="406" t="str">
        <x:f>IF(COUNTIF($BF$50:$BF$55,3005)=0,"12",IF(COUNTIF($BF$50:$BF$55,3005)&gt;1,IF($BF$50=3005,$BE$50,"")&amp;IF($BF$51=3005,$BE$51,"")&amp;IF($BF$52=3005,$BE$52,"")&amp;IF($BF$53=3005,$BE$53,"")&amp;IF($BF$54=3005,$BE$54,"")&amp;IF($BF$55=3005,$BE$55,""),IF($BF$50=3005,$BG$50,"")&amp;IF($BF$51=3005,$BG$51,"")&amp;IF($BF$52=3005,$BG$52,"")&amp;IF($BF$53=3005,$BG$53,"")&amp;IF($BF$54=3005,$BG$54,"")&amp;IF($BF$55=3005,$BG$55,"")))</x:f>
        <x:v>12</x:v>
      </x:c>
      <x:c r="F30" s="406" t="str">
        <x:f>IF(COUNTIF($BF$50:$BF$55,3006)=0,"11",IF(COUNTIF($BF$50:$BF$55,3006)&gt;1,IF($BF$50=3006,$BE$50,"")&amp;IF($BF$51=3006,$BE$51,"")&amp;IF($BF$52=3006,$BE$52,"")&amp;IF($BF$53=3006,$BE$53,"")&amp;IF($BF$54=3006,$BE$54,"")&amp;IF($BF$55=3006,$BE$55,""),IF($BF$50=3006,$BG$50,"")&amp;IF($BF$51=3006,$BG$51,"")&amp;IF($BF$52=3006,$BG$52,"")&amp;IF($BF$53=3006,$BG$53,"")&amp;IF($BF$54=3006,$BG$54,"")&amp;IF($BF$55=3006,$BG$55,"")))</x:f>
        <x:v>11</x:v>
      </x:c>
      <x:c r="G30" s="406" t="str">
        <x:f>IF(COUNTIF($BF$50:$BF$55,3007)=0,"10",IF(COUNTIF($BF$50:$BF$55,3007)&gt;1,IF($BF$50=3007,$BE$50,"")&amp;IF($BF$51=3007,$BE$51,"")&amp;IF($BF$52=3007,$BE$52,"")&amp;IF($BF$53=3007,$BE$53,"")&amp;IF($BF$54=3007,$BE$54,"")&amp;IF($BF$55=3007,$BE$55,""),IF($BF$50=3007,$BG$50,"")&amp;IF($BF$51=3007,$BG$51,"")&amp;IF($BF$52=3007,$BG$52,"")&amp;IF($BF$53=3007,$BG$53,"")&amp;IF($BF$54=3007,$BG$54,"")&amp;IF($BF$55=3007,$BG$55,"")))</x:f>
        <x:v>10</x:v>
      </x:c>
      <x:c r="H30" s="406" t="str">
        <x:f>IF(COUNTIF($BF$50:$BF$55,3008)=0,"9",IF(COUNTIF($BF$50:$BF$55,3008)&gt;1,IF($BF$50=3008,$BE$50,"")&amp;IF($BF$51=3008,$BE$51,"")&amp;IF($BF$52=3008,$BE$52,"")&amp;IF($BF$53=3008,$BE$53,"")&amp;IF($BF$54=3008,$BE$54,"")&amp;IF($BF$55=3008,$BE$55,""),IF($BF$50=3008,$BG$50,"")&amp;IF($BF$51=3008,$BG$51,"")&amp;IF($BF$52=3008,$BG$52,"")&amp;IF($BF$53=3008,$BG$53,"")&amp;IF($BF$54=3008,$BG$54,"")&amp;IF($BF$55=3008,$BG$55,"")))</x:f>
        <x:v>9</x:v>
      </x:c>
      <x:c r="I30" s="406" t="str">
        <x:f>IF(COUNTIF($BF$50:$BF$55,3009)=0,"8",IF(COUNTIF($BF$50:$BF$55,3009)&gt;1,IF($BF$50=3009,$BE$50,"")&amp;IF($BF$51=3009,$BE$51,"")&amp;IF($BF$52=3009,$BE$52,"")&amp;IF($BF$53=3009,$BE$53,"")&amp;IF($BF$54=3009,$BE$54,"")&amp;IF($BF$55=3009,$BE$55,""),IF($BF$50=3009,$BG$50,"")&amp;IF($BF$51=3009,$BG$51,"")&amp;IF($BF$52=3009,$BG$52,"")&amp;IF($BF$53=3009,$BG$53,"")&amp;IF($BF$54=3009,$BG$54,"")&amp;IF($BF$55=3009,$BG$55,"")))</x:f>
        <x:v>8</x:v>
      </x:c>
      <x:c r="J30" s="406" t="str">
        <x:f>IF(COUNTIF($BF$50:$BF$55,3010)=0,"7",IF(COUNTIF($BF$50:$BF$55,3010)&gt;1,IF($BF$50=3010,$BE$50,"")&amp;IF($BF$51=3010,$BE$51,"")&amp;IF($BF$52=3010,$BE$52,"")&amp;IF($BF$53=3010,$BE$53,"")&amp;IF($BF$54=3010,$BE$54,"")&amp;IF($BF$55=3010,$BE$55,""),IF($BF$50=3010,$BG$50,"")&amp;IF($BF$51=3010,$BG$51,"")&amp;IF($BF$52=3010,$BG$52,"")&amp;IF($BF$53=3010,$BG$53,"")&amp;IF($BF$54=3010,$BG$54,"")&amp;IF($BF$55=3010,$BG$55,"")))</x:f>
        <x:v>7</x:v>
      </x:c>
      <x:c r="K30" s="406" t="str">
        <x:f>IF(COUNTIF($BF$50:$BF$55,3011)=0,"6",IF(COUNTIF($BF$50:$BF$55,3011)&gt;1,IF($BF$50=3011,$BE$50,"")&amp;IF($BF$51=3011,$BE$51,"")&amp;IF($BF$52=3011,$BE$52,"")&amp;IF($BF$53=3011,$BE$53,"")&amp;IF($BF$54=3011,$BE$54,"")&amp;IF($BF$55=3011,$BE$55,""),IF($BF$50=3011,$BG$50,"")&amp;IF($BF$51=3011,$BG$51,"")&amp;IF($BF$52=3011,$BG$52,"")&amp;IF($BF$53=3011,$BG$53,"")&amp;IF($BF$54=3011,$BG$54,"")&amp;IF($BF$55=3011,$BG$55,"")))</x:f>
        <x:v>6</x:v>
      </x:c>
      <x:c r="L30" s="406" t="str">
        <x:f>IF(COUNTIF($BF$50:$BF$55,3012)=0,"5",IF(COUNTIF($BF$50:$BF$55,3012)&gt;1,IF($BF$50=3012,$BE$50,"")&amp;IF($BF$51=3012,$BE$51,"")&amp;IF($BF$52=3012,$BE$52,"")&amp;IF($BF$53=3012,$BE$53,"")&amp;IF($BF$54=3012,$BE$54,"")&amp;IF($BF$55=3012,$BE$55,""),IF($BF$50=3012,$BG$50,"")&amp;IF($BF$51=3012,$BG$51,"")&amp;IF($BF$52=3012,$BG$52,"")&amp;IF($BF$53=3012,$BG$53,"")&amp;IF($BF$54=3012,$BG$54,"")&amp;IF($BF$55=3012,$BG$55,"")))</x:f>
        <x:v>5</x:v>
      </x:c>
      <x:c r="M30" s="406" t="str">
        <x:f>IF(COUNTIF($BF$50:$BF$55,3013)=0,"4",IF(COUNTIF($BF$50:$BF$55,3013)&gt;1,IF($BF$50=3013,$BE$50,"")&amp;IF($BF$51=3013,$BE$51,"")&amp;IF($BF$52=3013,$BE$52,"")&amp;IF($BF$53=3013,$BE$53,"")&amp;IF($BF$54=3013,$BE$54,"")&amp;IF($BF$55=3013,$BE$55,""),IF($BF$50=3013,$BG$50,"")&amp;IF($BF$51=3013,$BG$51,"")&amp;IF($BF$52=3013,$BG$52,"")&amp;IF($BF$53=3013,$BG$53,"")&amp;IF($BF$54=3013,$BG$54,"")&amp;IF($BF$55=3013,$BG$55,"")))</x:f>
        <x:v>4</x:v>
      </x:c>
      <x:c r="N30" s="406" t="str">
        <x:f>IF(COUNTIF($BF$50:$BF$55,3014)=0,"3",IF(COUNTIF($BF$50:$BF$55,3014)&gt;1,IF($BF$50=3014,$BE$50,"")&amp;IF($BF$51=3014,$BE$51,"")&amp;IF($BF$52=3014,$BE$52,"")&amp;IF($BF$53=3014,$BE$53,"")&amp;IF($BF$54=3014,$BE$54,"")&amp;IF($BF$55=3014,$BE$55,""),IF($BF$50=3014,$BG$50,"")&amp;IF($BF$51=3014,$BG$51,"")&amp;IF($BF$52=3014,$BG$52,"")&amp;IF($BF$53=3014,$BG$53,"")&amp;IF($BF$54=3014,$BG$54,"")&amp;IF($BF$55=3014,$BG$55,"")))</x:f>
        <x:v>3</x:v>
      </x:c>
      <x:c r="O30" s="406" t="str">
        <x:f>IF(COUNTIF($BF$50:$BF$55,3015)=0,"2",IF(COUNTIF($BF$50:$BF$55,3015)&gt;1,IF($BF$50=3015,$BE$50,"")&amp;IF($BF$51=3015,$BE$51,"")&amp;IF($BF$52=3015,$BE$52,"")&amp;IF($BF$53=3015,$BE$53,"")&amp;IF($BF$54=3015,$BE$54,"")&amp;IF($BF$55=3015,$BE$55,""),IF($BF$50=3015,$BG$50,"")&amp;IF($BF$51=3015,$BG$51,"")&amp;IF($BF$52=3015,$BG$52,"")&amp;IF($BF$53=3015,$BG$53,"")&amp;IF($BF$54=3015,$BG$54,"")&amp;IF($BF$55=3015,$BG$55,"")))</x:f>
        <x:v>2</x:v>
      </x:c>
      <x:c r="P30" s="416" t="str">
        <x:f>IF(COUNTIF($BF$50:$BF$55,3016)=0,"1",IF(COUNTIF($BF$50:$BF$55,3016)&gt;1,IF($BF$50=3016,$BE$50,"")&amp;IF($BF$51=3016,$BE$51,"")&amp;IF($BF$52=3016,$BE$52,"")&amp;IF($BF$53=3016,$BE$53,"")&amp;IF($BF$54=3016,$BE$54,"")&amp;IF($BF$55=3016,$BE$55,""),IF($BF$50=3016,$BG$50,"")&amp;IF($BF$51=3016,$BG$51,"")&amp;IF($BF$52=3016,$BG$52,"")&amp;IF($BF$53=3016,$BG$53,"")&amp;IF($BF$54=3016,$BG$54,"")&amp;IF($BF$55=3016,$BG$55,"")))</x:f>
        <x:v>1</x:v>
      </x:c>
      <x:c r="Q30" s="420" t="str">
        <x:f>IF(COUNTIF($BF$50:$BF$55,3017)=0,"134",IF(COUNTIF($BF$50:$BF$55,3017)&gt;1,IF($BF$50=3017,$BE$50,"")&amp;IF($BF$51=3017,$BE$51,"")&amp;IF($BF$52=3017,$BE$52,"")&amp;IF($BF$53=3017,$BE$53,"")&amp;IF($BF$54=3017,$BE$54,"")&amp;IF($BF$55=3017,$BE$55,""),IF($BF$50=3017,$BG$50,"")&amp;IF($BF$51=3017,$BG$51,"")&amp;IF($BF$52=3017,$BG$52,"")&amp;IF($BF$53=3017,$BG$53,"")&amp;IF($BF$54=3017,$BG$54,"")&amp;IF($BF$55=3017,$BG$55,"")))</x:f>
        <x:v>134</x:v>
      </x:c>
      <x:c r="R30" s="406" t="str">
        <x:f>IF(COUNTIF($BF$50:$BF$55,3018)=0,"133",IF(COUNTIF($BF$50:$BF$55,3018)&gt;1,IF($BF$50=3018,$BE$50,"")&amp;IF($BF$51=3018,$BE$51,"")&amp;IF($BF$52=3018,$BE$52,"")&amp;IF($BF$53=3018,$BE$53,"")&amp;IF($BF$54=3018,$BE$54,"")&amp;IF($BF$55=3018,$BE$55,""),IF($BF$50=3018,$BG$50,"")&amp;IF($BF$51=3018,$BG$51,"")&amp;IF($BF$52=3018,$BG$52,"")&amp;IF($BF$53=3018,$BG$53,"")&amp;IF($BF$54=3018,$BG$54,"")&amp;IF($BF$55=3018,$BG$55,"")))</x:f>
        <x:v>133</x:v>
      </x:c>
      <x:c r="S30" s="406" t="str">
        <x:f>IF(COUNTIF($BF$50:$BF$55,3019)=0,"132",IF(COUNTIF($BF$50:$BF$55,3019)&gt;1,IF($BF$50=3019,$BE$50,"")&amp;IF($BF$51=3019,$BE$51,"")&amp;IF($BF$52=3019,$BE$52,"")&amp;IF($BF$53=3019,$BE$53,"")&amp;IF($BF$54=3019,$BE$54,"")&amp;IF($BF$55=3019,$BE$55,""),IF($BF$50=3019,$BG$50,"")&amp;IF($BF$51=3019,$BG$51,"")&amp;IF($BF$52=3019,$BG$52,"")&amp;IF($BF$53=3019,$BG$53,"")&amp;IF($BF$54=3019,$BG$54,"")&amp;IF($BF$55=3019,$BG$55,"")))</x:f>
        <x:v>132</x:v>
      </x:c>
      <x:c r="T30" s="406" t="str">
        <x:f>IF(COUNTIF($BF$50:$BF$55,3020)=0,"131",IF(COUNTIF($BF$50:$BF$55,3020)&gt;1,IF($BF$50=3020,$BE$50,"")&amp;IF($BF$51=3020,$BE$51,"")&amp;IF($BF$52=3020,$BE$52,"")&amp;IF($BF$53=3020,$BE$53,"")&amp;IF($BF$54=3020,$BE$54,"")&amp;IF($BF$55=3020,$BE$55,""),IF($BF$50=3020,$BG$50,"")&amp;IF($BF$51=3020,$BG$51,"")&amp;IF($BF$52=3020,$BG$52,"")&amp;IF($BF$53=3020,$BG$53,"")&amp;IF($BF$54=3020,$BG$54,"")&amp;IF($BF$55=3020,$BG$55,"")))</x:f>
        <x:v>131</x:v>
      </x:c>
      <x:c r="U30" s="406" t="str">
        <x:f>IF(COUNTIF($BF$50:$BF$55,3021)=0,"130",IF(COUNTIF($BF$50:$BF$55,3021)&gt;1,IF($BF$50=3021,$BE$50,"")&amp;IF($BF$51=3021,$BE$51,"")&amp;IF($BF$52=3021,$BE$52,"")&amp;IF($BF$53=3021,$BE$53,"")&amp;IF($BF$54=3021,$BE$54,"")&amp;IF($BF$55=3021,$BE$55,""),IF($BF$50=3021,$BG$50,"")&amp;IF($BF$51=3021,$BG$51,"")&amp;IF($BF$52=3021,$BG$52,"")&amp;IF($BF$53=3021,$BG$53,"")&amp;IF($BF$54=3021,$BG$54,"")&amp;IF($BF$55=3021,$BG$55,"")))</x:f>
        <x:v>130</x:v>
      </x:c>
      <x:c r="V30" s="406" t="str">
        <x:f>IF(COUNTIF($BF$50:$BF$55,3022)=0,"129",IF(COUNTIF($BF$50:$BF$55,3022)&gt;1,IF($BF$50=3022,$BE$50,"")&amp;IF($BF$51=3022,$BE$51,"")&amp;IF($BF$52=3022,$BE$52,"")&amp;IF($BF$53=3022,$BE$53,"")&amp;IF($BF$54=3022,$BE$54,"")&amp;IF($BF$55=3022,$BE$55,""),IF($BF$50=3022,$BG$50,"")&amp;IF($BF$51=3022,$BG$51,"")&amp;IF($BF$52=3022,$BG$52,"")&amp;IF($BF$53=3022,$BG$53,"")&amp;IF($BF$54=3022,$BG$54,"")&amp;IF($BF$55=3022,$BG$55,"")))</x:f>
        <x:v>129</x:v>
      </x:c>
      <x:c r="W30" s="406" t="str">
        <x:f>IF(COUNTIF($BF$50:$BF$55,3023)=0,"128",IF(COUNTIF($BF$50:$BF$55,3023)&gt;1,IF($BF$50=3023,$BE$50,"")&amp;IF($BF$51=3023,$BE$51,"")&amp;IF($BF$52=3023,$BE$52,"")&amp;IF($BF$53=3023,$BE$53,"")&amp;IF($BF$54=3023,$BE$54,"")&amp;IF($BF$55=3023,$BE$55,""),IF($BF$50=3023,$BG$50,"")&amp;IF($BF$51=3023,$BG$51,"")&amp;IF($BF$52=3023,$BG$52,"")&amp;IF($BF$53=3023,$BG$53,"")&amp;IF($BF$54=3023,$BG$54,"")&amp;IF($BF$55=3023,$BG$55,"")))</x:f>
        <x:v>128</x:v>
      </x:c>
      <x:c r="X30" s="406" t="str">
        <x:f>IF(COUNTIF($BF$50:$BF$55,3024)=0,"127",IF(COUNTIF($BF$50:$BF$55,3024)&gt;1,IF($BF$50=3024,$BE$50,"")&amp;IF($BF$51=3024,$BE$51,"")&amp;IF($BF$52=3024,$BE$52,"")&amp;IF($BF$53=3024,$BE$53,"")&amp;IF($BF$54=3024,$BE$54,"")&amp;IF($BF$55=3024,$BE$55,""),IF($BF$50=3024,$BG$50,"")&amp;IF($BF$51=3024,$BG$51,"")&amp;IF($BF$52=3024,$BG$52,"")&amp;IF($BF$53=3024,$BG$53,"")&amp;IF($BF$54=3024,$BG$54,"")&amp;IF($BF$55=3024,$BG$55,"")))</x:f>
        <x:v>←4</x:v>
      </x:c>
      <x:c r="Y30" s="406" t="str">
        <x:f>IF(COUNTIF($BF$50:$BF$55,3025)=0,"126",IF(COUNTIF($BF$50:$BF$55,3025)&gt;1,IF($BF$50=3025,$BE$50,"")&amp;IF($BF$51=3025,$BE$51,"")&amp;IF($BF$52=3025,$BE$52,"")&amp;IF($BF$53=3025,$BE$53,"")&amp;IF($BF$54=3025,$BE$54,"")&amp;IF($BF$55=3025,$BE$55,""),IF($BF$50=3025,$BG$50,"")&amp;IF($BF$51=3025,$BG$51,"")&amp;IF($BF$52=3025,$BG$52,"")&amp;IF($BF$53=3025,$BG$53,"")&amp;IF($BF$54=3025,$BG$54,"")&amp;IF($BF$55=3025,$BG$55,"")))</x:f>
        <x:v>126</x:v>
      </x:c>
      <x:c r="Z30" s="406" t="str">
        <x:f>IF(COUNTIF($BF$50:$BF$55,3026)=0,"125",IF(COUNTIF($BF$50:$BF$55,3026)&gt;1,IF($BF$50=3026,$BE$50,"")&amp;IF($BF$51=3026,$BE$51,"")&amp;IF($BF$52=3026,$BE$52,"")&amp;IF($BF$53=3026,$BE$53,"")&amp;IF($BF$54=3026,$BE$54,"")&amp;IF($BF$55=3026,$BE$55,""),IF($BF$50=3026,$BG$50,"")&amp;IF($BF$51=3026,$BG$51,"")&amp;IF($BF$52=3026,$BG$52,"")&amp;IF($BF$53=3026,$BG$53,"")&amp;IF($BF$54=3026,$BG$54,"")&amp;IF($BF$55=3026,$BG$55,"")))</x:f>
        <x:v>125</x:v>
      </x:c>
      <x:c r="AA30" s="406" t="str">
        <x:f>IF(COUNTIF($BF$50:$BF$55,3027)=0,"124",IF(COUNTIF($BF$50:$BF$55,3027)&gt;1,IF($BF$50=3027,$BE$50,"")&amp;IF($BF$51=3027,$BE$51,"")&amp;IF($BF$52=3027,$BE$52,"")&amp;IF($BF$53=3027,$BE$53,"")&amp;IF($BF$54=3027,$BE$54,"")&amp;IF($BF$55=3027,$BE$55,""),IF($BF$50=3027,$BG$50,"")&amp;IF($BF$51=3027,$BG$51,"")&amp;IF($BF$52=3027,$BG$52,"")&amp;IF($BF$53=3027,$BG$53,"")&amp;IF($BF$54=3027,$BG$54,"")&amp;IF($BF$55=3027,$BG$55,"")))</x:f>
        <x:v>←2</x:v>
      </x:c>
      <x:c r="AB30" s="406" t="str">
        <x:f>IF(COUNTIF($BF$50:$BF$55,3028)=0,"123",IF(COUNTIF($BF$50:$BF$55,3028)&gt;1,IF($BF$50=3028,$BE$50,"")&amp;IF($BF$51=3028,$BE$51,"")&amp;IF($BF$52=3028,$BE$52,"")&amp;IF($BF$53=3028,$BE$53,"")&amp;IF($BF$54=3028,$BE$54,"")&amp;IF($BF$55=3028,$BE$55,""),IF($BF$50=3028,$BG$50,"")&amp;IF($BF$51=3028,$BG$51,"")&amp;IF($BF$52=3028,$BG$52,"")&amp;IF($BF$53=3028,$BG$53,"")&amp;IF($BF$54=3028,$BG$54,"")&amp;IF($BF$55=3028,$BG$55,"")))</x:f>
        <x:v>123</x:v>
      </x:c>
      <x:c r="AC30" s="406" t="str">
        <x:f>IF(COUNTIF($BF$50:$BF$55,3029)=0,"122",IF(COUNTIF($BF$50:$BF$55,3029)&gt;1,IF($BF$50=3029,$BE$50,"")&amp;IF($BF$51=3029,$BE$51,"")&amp;IF($BF$52=3029,$BE$52,"")&amp;IF($BF$53=3029,$BE$53,"")&amp;IF($BF$54=3029,$BE$54,"")&amp;IF($BF$55=3029,$BE$55,""),IF($BF$50=3029,$BG$50,"")&amp;IF($BF$51=3029,$BG$51,"")&amp;IF($BF$52=3029,$BG$52,"")&amp;IF($BF$53=3029,$BG$53,"")&amp;IF($BF$54=3029,$BG$54,"")&amp;IF($BF$55=3029,$BG$55,"")))</x:f>
        <x:v>122</x:v>
      </x:c>
      <x:c r="AD30" s="406" t="str">
        <x:f>IF(COUNTIF($BF$50:$BF$55,3030)=0,"121",IF(COUNTIF($BF$50:$BF$55,3030)&gt;1,IF($BF$50=3030,$BE$50,"")&amp;IF($BF$51=3030,$BE$51,"")&amp;IF($BF$52=3030,$BE$52,"")&amp;IF($BF$53=3030,$BE$53,"")&amp;IF($BF$54=3030,$BE$54,"")&amp;IF($BF$55=3030,$BE$55,""),IF($BF$50=3030,$BG$50,"")&amp;IF($BF$51=3030,$BG$51,"")&amp;IF($BF$52=3030,$BG$52,"")&amp;IF($BF$53=3030,$BG$53,"")&amp;IF($BF$54=3030,$BG$54,"")&amp;IF($BF$55=3030,$BG$55,"")))</x:f>
        <x:v>121</x:v>
      </x:c>
      <x:c r="AE30" s="406" t="str">
        <x:f>IF(COUNTIF($BF$50:$BF$55,3031)=0,"120",IF(COUNTIF($BF$50:$BF$55,3031)&gt;1,IF($BF$50=3031,$BE$50,"")&amp;IF($BF$51=3031,$BE$51,"")&amp;IF($BF$52=3031,$BE$52,"")&amp;IF($BF$53=3031,$BE$53,"")&amp;IF($BF$54=3031,$BE$54,"")&amp;IF($BF$55=3031,$BE$55,""),IF($BF$50=3031,$BG$50,"")&amp;IF($BF$51=3031,$BG$51,"")&amp;IF($BF$52=3031,$BG$52,"")&amp;IF($BF$53=3031,$BG$53,"")&amp;IF($BF$54=3031,$BG$54,"")&amp;IF($BF$55=3031,$BG$55,"")))</x:f>
        <x:v>120</x:v>
      </x:c>
      <x:c r="AF30" s="406" t="str">
        <x:f>IF(COUNTIF($BF$50:$BF$55,3032)=0,"119",IF(COUNTIF($BF$50:$BF$55,3032)&gt;1,IF($BF$50=3032,$BE$50,"")&amp;IF($BF$51=3032,$BE$51,"")&amp;IF($BF$52=3032,$BE$52,"")&amp;IF($BF$53=3032,$BE$53,"")&amp;IF($BF$54=3032,$BE$54,"")&amp;IF($BF$55=3032,$BE$55,""),IF($BF$50=3032,$BG$50,"")&amp;IF($BF$51=3032,$BG$51,"")&amp;IF($BF$52=3032,$BG$52,"")&amp;IF($BF$53=3032,$BG$53,"")&amp;IF($BF$54=3032,$BG$54,"")&amp;IF($BF$55=3032,$BG$55,"")))</x:f>
        <x:v>119</x:v>
      </x:c>
      <x:c r="AG30" s="406" t="str">
        <x:f>IF(COUNTIF($BF$50:$BF$55,3033)=0,"118",IF(COUNTIF($BF$50:$BF$55,3033)&gt;1,IF($BF$50=3033,$BE$50,"")&amp;IF($BF$51=3033,$BE$51,"")&amp;IF($BF$52=3033,$BE$52,"")&amp;IF($BF$53=3033,$BE$53,"")&amp;IF($BF$54=3033,$BE$54,"")&amp;IF($BF$55=3033,$BE$55,""),IF($BF$50=3033,$BG$50,"")&amp;IF($BF$51=3033,$BG$51,"")&amp;IF($BF$52=3033,$BG$52,"")&amp;IF($BF$53=3033,$BG$53,"")&amp;IF($BF$54=3033,$BG$54,"")&amp;IF($BF$55=3033,$BG$55,"")))</x:f>
        <x:v>118</x:v>
      </x:c>
      <x:c r="AH30" s="406" t="str">
        <x:f>IF(COUNTIF($BF$50:$BF$55,3034)=0,"117",IF(COUNTIF($BF$50:$BF$55,3034)&gt;1,IF($BF$50=3034,$BE$50,"")&amp;IF($BF$51=3034,$BE$51,"")&amp;IF($BF$52=3034,$BE$52,"")&amp;IF($BF$53=3034,$BE$53,"")&amp;IF($BF$54=3034,$BE$54,"")&amp;IF($BF$55=3034,$BE$55,""),IF($BF$50=3034,$BG$50,"")&amp;IF($BF$51=3034,$BG$51,"")&amp;IF($BF$52=3034,$BG$52,"")&amp;IF($BF$53=3034,$BG$53,"")&amp;IF($BF$54=3034,$BG$54,"")&amp;IF($BF$55=3034,$BG$55,"")))</x:f>
        <x:v>117</x:v>
      </x:c>
      <x:c r="AI30" s="406" t="str">
        <x:f>IF(COUNTIF($BF$50:$BF$55,3035)=0,"116",IF(COUNTIF($BF$50:$BF$55,3035)&gt;1,IF($BF$50=3035,$BE$50,"")&amp;IF($BF$51=3035,$BE$51,"")&amp;IF($BF$52=3035,$BE$52,"")&amp;IF($BF$53=3035,$BE$53,"")&amp;IF($BF$54=3035,$BE$54,"")&amp;IF($BF$55=3035,$BE$55,""),IF($BF$50=3035,$BG$50,"")&amp;IF($BF$51=3035,$BG$51,"")&amp;IF($BF$52=3035,$BG$52,"")&amp;IF($BF$53=3035,$BG$53,"")&amp;IF($BF$54=3035,$BG$54,"")&amp;IF($BF$55=3035,$BG$55,"")))</x:f>
        <x:v>116</x:v>
      </x:c>
      <x:c r="AJ30" s="406" t="str">
        <x:f>IF(COUNTIF($BF$50:$BF$55,3036)=0,"115",IF(COUNTIF($BF$50:$BF$55,3036)&gt;1,IF($BF$50=3036,$BE$50,"")&amp;IF($BF$51=3036,$BE$51,"")&amp;IF($BF$52=3036,$BE$52,"")&amp;IF($BF$53=3036,$BE$53,"")&amp;IF($BF$54=3036,$BE$54,"")&amp;IF($BF$55=3036,$BE$55,""),IF($BF$50=3036,$BG$50,"")&amp;IF($BF$51=3036,$BG$51,"")&amp;IF($BF$52=3036,$BG$52,"")&amp;IF($BF$53=3036,$BG$53,"")&amp;IF($BF$54=3036,$BG$54,"")&amp;IF($BF$55=3036,$BG$55,"")))</x:f>
        <x:v>115</x:v>
      </x:c>
      <x:c r="AK30" s="406" t="str">
        <x:f>IF(COUNTIF($BF$50:$BF$55,3037)=0,"114",IF(COUNTIF($BF$50:$BF$55,3037)&gt;1,IF($BF$50=3037,$BE$50,"")&amp;IF($BF$51=3037,$BE$51,"")&amp;IF($BF$52=3037,$BE$52,"")&amp;IF($BF$53=3037,$BE$53,"")&amp;IF($BF$54=3037,$BE$54,"")&amp;IF($BF$55=3037,$BE$55,""),IF($BF$50=3037,$BG$50,"")&amp;IF($BF$51=3037,$BG$51,"")&amp;IF($BF$52=3037,$BG$52,"")&amp;IF($BF$53=3037,$BG$53,"")&amp;IF($BF$54=3037,$BG$54,"")&amp;IF($BF$55=3037,$BG$55,"")))</x:f>
        <x:v>114</x:v>
      </x:c>
      <x:c r="AL30" s="406" t="str">
        <x:f>IF(COUNTIF($BF$50:$BF$55,3038)=0,"113",IF(COUNTIF($BF$50:$BF$55,3038)&gt;1,IF($BF$50=3038,$BE$50,"")&amp;IF($BF$51=3038,$BE$51,"")&amp;IF($BF$52=3038,$BE$52,"")&amp;IF($BF$53=3038,$BE$53,"")&amp;IF($BF$54=3038,$BE$54,"")&amp;IF($BF$55=3038,$BE$55,""),IF($BF$50=3038,$BG$50,"")&amp;IF($BF$51=3038,$BG$51,"")&amp;IF($BF$52=3038,$BG$52,"")&amp;IF($BF$53=3038,$BG$53,"")&amp;IF($BF$54=3038,$BG$54,"")&amp;IF($BF$55=3038,$BG$55,"")))</x:f>
        <x:v>113</x:v>
      </x:c>
      <x:c r="AM30" s="406" t="str">
        <x:f>IF(COUNTIF($BF$50:$BF$55,3039)=0,"112",IF(COUNTIF($BF$50:$BF$55,3039)&gt;1,IF($BF$50=3039,$BE$50,"")&amp;IF($BF$51=3039,$BE$51,"")&amp;IF($BF$52=3039,$BE$52,"")&amp;IF($BF$53=3039,$BE$53,"")&amp;IF($BF$54=3039,$BE$54,"")&amp;IF($BF$55=3039,$BE$55,""),IF($BF$50=3039,$BG$50,"")&amp;IF($BF$51=3039,$BG$51,"")&amp;IF($BF$52=3039,$BG$52,"")&amp;IF($BF$53=3039,$BG$53,"")&amp;IF($BF$54=3039,$BG$54,"")&amp;IF($BF$55=3039,$BG$55,"")))</x:f>
        <x:v>112</x:v>
      </x:c>
      <x:c r="AN30" s="406" t="str">
        <x:f>IF(COUNTIF($BF$50:$BF$55,3040)=0,"111",IF(COUNTIF($BF$50:$BF$55,3040)&gt;1,IF($BF$50=3040,$BE$50,"")&amp;IF($BF$51=3040,$BE$51,"")&amp;IF($BF$52=3040,$BE$52,"")&amp;IF($BF$53=3040,$BE$53,"")&amp;IF($BF$54=3040,$BE$54,"")&amp;IF($BF$55=3040,$BE$55,""),IF($BF$50=3040,$BG$50,"")&amp;IF($BF$51=3040,$BG$51,"")&amp;IF($BF$52=3040,$BG$52,"")&amp;IF($BF$53=3040,$BG$53,"")&amp;IF($BF$54=3040,$BG$54,"")&amp;IF($BF$55=3040,$BG$55,"")))</x:f>
        <x:v>111</x:v>
      </x:c>
      <x:c r="AO30" s="406" t="str">
        <x:f>IF(COUNTIF($BF$50:$BF$55,3041)=0,"110",IF(COUNTIF($BF$50:$BF$55,3041)&gt;1,IF($BF$50=3041,$BE$50,"")&amp;IF($BF$51=3041,$BE$51,"")&amp;IF($BF$52=3041,$BE$52,"")&amp;IF($BF$53=3041,$BE$53,"")&amp;IF($BF$54=3041,$BE$54,"")&amp;IF($BF$55=3041,$BE$55,""),IF($BF$50=3041,$BG$50,"")&amp;IF($BF$51=3041,$BG$51,"")&amp;IF($BF$52=3041,$BG$52,"")&amp;IF($BF$53=3041,$BG$53,"")&amp;IF($BF$54=3041,$BG$54,"")&amp;IF($BF$55=3041,$BG$55,"")))</x:f>
        <x:v>110</x:v>
      </x:c>
      <x:c r="AP30" s="406" t="str">
        <x:f>IF(COUNTIF($BF$50:$BF$55,3042)=0,"109",IF(COUNTIF($BF$50:$BF$55,3042)&gt;1,IF($BF$50=3042,$BE$50,"")&amp;IF($BF$51=3042,$BE$51,"")&amp;IF($BF$52=3042,$BE$52,"")&amp;IF($BF$53=3042,$BE$53,"")&amp;IF($BF$54=3042,$BE$54,"")&amp;IF($BF$55=3042,$BE$55,""),IF($BF$50=3042,$BG$50,"")&amp;IF($BF$51=3042,$BG$51,"")&amp;IF($BF$52=3042,$BG$52,"")&amp;IF($BF$53=3042,$BG$53,"")&amp;IF($BF$54=3042,$BG$54,"")&amp;IF($BF$55=3042,$BG$55,"")))</x:f>
        <x:v>109</x:v>
      </x:c>
      <x:c r="AQ30" s="406" t="str">
        <x:f>IF(COUNTIF($BF$50:$BF$55,3043)=0,"108",IF(COUNTIF($BF$50:$BF$55,3043)&gt;1,IF($BF$50=3043,$BE$50,"")&amp;IF($BF$51=3043,$BE$51,"")&amp;IF($BF$52=3043,$BE$52,"")&amp;IF($BF$53=3043,$BE$53,"")&amp;IF($BF$54=3043,$BE$54,"")&amp;IF($BF$55=3043,$BE$55,""),IF($BF$50=3043,$BG$50,"")&amp;IF($BF$51=3043,$BG$51,"")&amp;IF($BF$52=3043,$BG$52,"")&amp;IF($BF$53=3043,$BG$53,"")&amp;IF($BF$54=3043,$BG$54,"")&amp;IF($BF$55=3043,$BG$55,"")))</x:f>
        <x:v>108</x:v>
      </x:c>
      <x:c r="AR30" s="406" t="str">
        <x:f>IF(COUNTIF($BF$50:$BF$55,3044)=0,"107",IF(COUNTIF($BF$50:$BF$55,3044)&gt;1,IF($BF$50=3044,$BE$50,"")&amp;IF($BF$51=3044,$BE$51,"")&amp;IF($BF$52=3044,$BE$52,"")&amp;IF($BF$53=3044,$BE$53,"")&amp;IF($BF$54=3044,$BE$54,"")&amp;IF($BF$55=3044,$BE$55,""),IF($BF$50=3044,$BG$50,"")&amp;IF($BF$51=3044,$BG$51,"")&amp;IF($BF$52=3044,$BG$52,"")&amp;IF($BF$53=3044,$BG$53,"")&amp;IF($BF$54=3044,$BG$54,"")&amp;IF($BF$55=3044,$BG$55,"")))</x:f>
        <x:v>107</x:v>
      </x:c>
      <x:c r="AS30" s="406" t="str">
        <x:f>IF(COUNTIF($BF$50:$BF$55,3045)=0,"106",IF(COUNTIF($BF$50:$BF$55,3045)&gt;1,IF($BF$50=3045,$BE$50,"")&amp;IF($BF$51=3045,$BE$51,"")&amp;IF($BF$52=3045,$BE$52,"")&amp;IF($BF$53=3045,$BE$53,"")&amp;IF($BF$54=3045,$BE$54,"")&amp;IF($BF$55=3045,$BE$55,""),IF($BF$50=3045,$BG$50,"")&amp;IF($BF$51=3045,$BG$51,"")&amp;IF($BF$52=3045,$BG$52,"")&amp;IF($BF$53=3045,$BG$53,"")&amp;IF($BF$54=3045,$BG$54,"")&amp;IF($BF$55=3045,$BG$55,"")))</x:f>
        <x:v>106</x:v>
      </x:c>
      <x:c r="AT30" s="406" t="str">
        <x:f>IF(COUNTIF($BF$50:$BF$55,3046)=0,"105",IF(COUNTIF($BF$50:$BF$55,3046)&gt;1,IF($BF$50=3046,$BE$50,"")&amp;IF($BF$51=3046,$BE$51,"")&amp;IF($BF$52=3046,$BE$52,"")&amp;IF($BF$53=3046,$BE$53,"")&amp;IF($BF$54=3046,$BE$54,"")&amp;IF($BF$55=3046,$BE$55,""),IF($BF$50=3046,$BG$50,"")&amp;IF($BF$51=3046,$BG$51,"")&amp;IF($BF$52=3046,$BG$52,"")&amp;IF($BF$53=3046,$BG$53,"")&amp;IF($BF$54=3046,$BG$54,"")&amp;IF($BF$55=3046,$BG$55,"")))</x:f>
        <x:v>105</x:v>
      </x:c>
      <x:c r="AU30" s="406" t="str">
        <x:f>IF(COUNTIF($BF$50:$BF$55,3047)=0,"104",IF(COUNTIF($BF$50:$BF$55,3047)&gt;1,IF($BF$50=3047,$BE$50,"")&amp;IF($BF$51=3047,$BE$51,"")&amp;IF($BF$52=3047,$BE$52,"")&amp;IF($BF$53=3047,$BE$53,"")&amp;IF($BF$54=3047,$BE$54,"")&amp;IF($BF$55=3047,$BE$55,""),IF($BF$50=3047,$BG$50,"")&amp;IF($BF$51=3047,$BG$51,"")&amp;IF($BF$52=3047,$BG$52,"")&amp;IF($BF$53=3047,$BG$53,"")&amp;IF($BF$54=3047,$BG$54,"")&amp;IF($BF$55=3047,$BG$55,"")))</x:f>
        <x:v>104</x:v>
      </x:c>
      <x:c r="AV30" s="406" t="str">
        <x:f>IF(COUNTIF($BF$50:$BF$55,3048)=0,"103",IF(COUNTIF($BF$50:$BF$55,3048)&gt;1,IF($BF$50=3048,$BE$50,"")&amp;IF($BF$51=3048,$BE$51,"")&amp;IF($BF$52=3048,$BE$52,"")&amp;IF($BF$53=3048,$BE$53,"")&amp;IF($BF$54=3048,$BE$54,"")&amp;IF($BF$55=3048,$BE$55,""),IF($BF$50=3048,$BG$50,"")&amp;IF($BF$51=3048,$BG$51,"")&amp;IF($BF$52=3048,$BG$52,"")&amp;IF($BF$53=3048,$BG$53,"")&amp;IF($BF$54=3048,$BG$54,"")&amp;IF($BF$55=3048,$BG$55,"")))</x:f>
        <x:v>103</x:v>
      </x:c>
      <x:c r="AW30" s="406" t="str">
        <x:f>IF(COUNTIF($BF$50:$BF$55,3049)=0,"102",IF(COUNTIF($BF$50:$BF$55,3049)&gt;1,IF($BF$50=3049,$BE$50,"")&amp;IF($BF$51=3049,$BE$51,"")&amp;IF($BF$52=3049,$BE$52,"")&amp;IF($BF$53=3049,$BE$53,"")&amp;IF($BF$54=3049,$BE$54,"")&amp;IF($BF$55=3049,$BE$55,""),IF($BF$50=3049,$BG$50,"")&amp;IF($BF$51=3049,$BG$51,"")&amp;IF($BF$52=3049,$BG$52,"")&amp;IF($BF$53=3049,$BG$53,"")&amp;IF($BF$54=3049,$BG$54,"")&amp;IF($BF$55=3049,$BG$55,"")))</x:f>
        <x:v>102</x:v>
      </x:c>
      <x:c r="AX30" s="406" t="str">
        <x:f>IF(COUNTIF($BF$50:$BF$55,3050)=0,"101",IF(COUNTIF($BF$50:$BF$55,3050)&gt;1,IF($BF$50=3050,$BE$50,"")&amp;IF($BF$51=3050,$BE$51,"")&amp;IF($BF$52=3050,$BE$52,"")&amp;IF($BF$53=3050,$BE$53,"")&amp;IF($BF$54=3050,$BE$54,"")&amp;IF($BF$55=3050,$BE$55,""),IF($BF$50=3050,$BG$50,"")&amp;IF($BF$51=3050,$BG$51,"")&amp;IF($BF$52=3050,$BG$52,"")&amp;IF($BF$53=3050,$BG$53,"")&amp;IF($BF$54=3050,$BG$54,"")&amp;IF($BF$55=3050,$BG$55,"")))</x:f>
        <x:v>101</x:v>
      </x:c>
      <x:c r="AY30" s="134"/>
      <x:c r="AZ30" s="168" t="str">
        <x:v>┆</x:v>
      </x:c>
      <x:c r="BA30" s="149"/>
      <x:c r="BB30" s="130"/>
      <x:c r="BC30" s="130"/>
      <x:c r="BD30" s="109"/>
      <x:c r="BE30" s="336" t="n">
        <x:f>Live!A23</x:f>
        <x:v>5</x:v>
      </x:c>
      <x:c r="BF30" s="337"/>
      <x:c r="BG30" s="422" t="str">
        <x:f>TEXT(Live!B23,"00")&amp;"  "&amp;Live!C23</x:f>
        <x:v>04  紫影</x:v>
      </x:c>
      <x:c r="BH30" s="422"/>
      <x:c r="BI30" s="422"/>
      <x:c r="BJ30" s="422"/>
      <x:c r="BK30" s="422"/>
      <x:c r="BL30" s="422"/>
      <x:c r="BM30" s="342" t="str">
        <x:f>IF(Live!I23&gt;=1,"END",Live!E23&amp;"/"&amp;Control!$B$6)</x:f>
        <x:v>3/5</x:v>
      </x:c>
      <x:c r="BN30" s="342"/>
      <x:c r="BO30" s="342"/>
      <x:c r="BP30" s="342" t="str">
        <x:f>IF(Live!I23&gt;=1,TEXT(Live!J23,"0.00")&amp;"s",IF(Live!A23=1,"LEAD","+"&amp;TEXT(Live!G23,"0.0")))</x:f>
        <x:v>+25.4</x:v>
      </x:c>
      <x:c r="BQ30" s="342"/>
      <x:c r="BR30" s="342"/>
      <x:c r="BS30" s="343"/>
    </x:row>
    <x:row r="31" ht="13.5" customHeight="1">
      <x:c r="A31" s="130"/>
      <x:c r="B31" s="149"/>
      <x:c r="C31" s="168" t="str">
        <x:v>┆</x:v>
      </x:c>
      <x:c r="D31" s="134"/>
      <x:c r="E31" s="408" t="str">
        <x:f>IF(COUNTIF($BF$50:$BF$55,3105)=0,"┄",IF(COUNTIF($BF$50:$BF$55,3105)&gt;1,IF($BF$50=3105,$BE$50,"")&amp;IF($BF$51=3105,$BE$51,"")&amp;IF($BF$52=3105,$BE$52,"")&amp;IF($BF$53=3105,$BE$53,"")&amp;IF($BF$54=3105,$BE$54,"")&amp;IF($BF$55=3105,$BE$55,""),IF($BF$50=3105,$BG$50,"")&amp;IF($BF$51=3105,$BG$51,"")&amp;IF($BF$52=3105,$BG$52,"")&amp;IF($BF$53=3105,$BG$53,"")&amp;IF($BF$54=3105,$BG$54,"")&amp;IF($BF$55=3105,$BG$55,"")))</x:f>
        <x:v>┄</x:v>
      </x:c>
      <x:c r="F31" s="408" t="str">
        <x:f>IF(COUNTIF($BF$50:$BF$55,3106)=0,"┄",IF(COUNTIF($BF$50:$BF$55,3106)&gt;1,IF($BF$50=3106,$BE$50,"")&amp;IF($BF$51=3106,$BE$51,"")&amp;IF($BF$52=3106,$BE$52,"")&amp;IF($BF$53=3106,$BE$53,"")&amp;IF($BF$54=3106,$BE$54,"")&amp;IF($BF$55=3106,$BE$55,""),IF($BF$50=3106,$BG$50,"")&amp;IF($BF$51=3106,$BG$51,"")&amp;IF($BF$52=3106,$BG$52,"")&amp;IF($BF$53=3106,$BG$53,"")&amp;IF($BF$54=3106,$BG$54,"")&amp;IF($BF$55=3106,$BG$55,"")))</x:f>
        <x:v>┄</x:v>
      </x:c>
      <x:c r="G31" s="408" t="str">
        <x:f>IF(COUNTIF($BF$50:$BF$55,3107)=0,"┄",IF(COUNTIF($BF$50:$BF$55,3107)&gt;1,IF($BF$50=3107,$BE$50,"")&amp;IF($BF$51=3107,$BE$51,"")&amp;IF($BF$52=3107,$BE$52,"")&amp;IF($BF$53=3107,$BE$53,"")&amp;IF($BF$54=3107,$BE$54,"")&amp;IF($BF$55=3107,$BE$55,""),IF($BF$50=3107,$BG$50,"")&amp;IF($BF$51=3107,$BG$51,"")&amp;IF($BF$52=3107,$BG$52,"")&amp;IF($BF$53=3107,$BG$53,"")&amp;IF($BF$54=3107,$BG$54,"")&amp;IF($BF$55=3107,$BG$55,"")))</x:f>
        <x:v>←5</x:v>
      </x:c>
      <x:c r="H31" s="408" t="str">
        <x:f>IF(COUNTIF($BF$50:$BF$55,3108)=0,"┄",IF(COUNTIF($BF$50:$BF$55,3108)&gt;1,IF($BF$50=3108,$BE$50,"")&amp;IF($BF$51=3108,$BE$51,"")&amp;IF($BF$52=3108,$BE$52,"")&amp;IF($BF$53=3108,$BE$53,"")&amp;IF($BF$54=3108,$BE$54,"")&amp;IF($BF$55=3108,$BE$55,""),IF($BF$50=3108,$BG$50,"")&amp;IF($BF$51=3108,$BG$51,"")&amp;IF($BF$52=3108,$BG$52,"")&amp;IF($BF$53=3108,$BG$53,"")&amp;IF($BF$54=3108,$BG$54,"")&amp;IF($BF$55=3108,$BG$55,"")))</x:f>
        <x:v>┄</x:v>
      </x:c>
      <x:c r="I31" s="408" t="str">
        <x:f>IF(COUNTIF($BF$50:$BF$55,3109)=0,"┄",IF(COUNTIF($BF$50:$BF$55,3109)&gt;1,IF($BF$50=3109,$BE$50,"")&amp;IF($BF$51=3109,$BE$51,"")&amp;IF($BF$52=3109,$BE$52,"")&amp;IF($BF$53=3109,$BE$53,"")&amp;IF($BF$54=3109,$BE$54,"")&amp;IF($BF$55=3109,$BE$55,""),IF($BF$50=3109,$BG$50,"")&amp;IF($BF$51=3109,$BG$51,"")&amp;IF($BF$52=3109,$BG$52,"")&amp;IF($BF$53=3109,$BG$53,"")&amp;IF($BF$54=3109,$BG$54,"")&amp;IF($BF$55=3109,$BG$55,"")))</x:f>
        <x:v>┄</x:v>
      </x:c>
      <x:c r="J31" s="408" t="str">
        <x:f>IF(COUNTIF($BF$50:$BF$55,3110)=0,"┆",IF(COUNTIF($BF$50:$BF$55,3110)&gt;1,IF($BF$50=3110,$BE$50,"")&amp;IF($BF$51=3110,$BE$51,"")&amp;IF($BF$52=3110,$BE$52,"")&amp;IF($BF$53=3110,$BE$53,"")&amp;IF($BF$54=3110,$BE$54,"")&amp;IF($BF$55=3110,$BE$55,""),IF($BF$50=3110,$BG$50,"")&amp;IF($BF$51=3110,$BG$51,"")&amp;IF($BF$52=3110,$BG$52,"")&amp;IF($BF$53=3110,$BG$53,"")&amp;IF($BF$54=3110,$BG$54,"")&amp;IF($BF$55=3110,$BG$55,"")))</x:f>
        <x:v>┆</x:v>
      </x:c>
      <x:c r="K31" s="408" t="str">
        <x:f>IF(COUNTIF($BF$50:$BF$55,3111)=0,"┄",IF(COUNTIF($BF$50:$BF$55,3111)&gt;1,IF($BF$50=3111,$BE$50,"")&amp;IF($BF$51=3111,$BE$51,"")&amp;IF($BF$52=3111,$BE$52,"")&amp;IF($BF$53=3111,$BE$53,"")&amp;IF($BF$54=3111,$BE$54,"")&amp;IF($BF$55=3111,$BE$55,""),IF($BF$50=3111,$BG$50,"")&amp;IF($BF$51=3111,$BG$51,"")&amp;IF($BF$52=3111,$BG$52,"")&amp;IF($BF$53=3111,$BG$53,"")&amp;IF($BF$54=3111,$BG$54,"")&amp;IF($BF$55=3111,$BG$55,"")))</x:f>
        <x:v>┄</x:v>
      </x:c>
      <x:c r="L31" s="408" t="str">
        <x:f>IF(COUNTIF($BF$50:$BF$55,3112)=0,"┄",IF(COUNTIF($BF$50:$BF$55,3112)&gt;1,IF($BF$50=3112,$BE$50,"")&amp;IF($BF$51=3112,$BE$51,"")&amp;IF($BF$52=3112,$BE$52,"")&amp;IF($BF$53=3112,$BE$53,"")&amp;IF($BF$54=3112,$BE$54,"")&amp;IF($BF$55=3112,$BE$55,""),IF($BF$50=3112,$BG$50,"")&amp;IF($BF$51=3112,$BG$51,"")&amp;IF($BF$52=3112,$BG$52,"")&amp;IF($BF$53=3112,$BG$53,"")&amp;IF($BF$54=3112,$BG$54,"")&amp;IF($BF$55=3112,$BG$55,"")))</x:f>
        <x:v>┄</x:v>
      </x:c>
      <x:c r="M31" s="408" t="str">
        <x:f>IF(COUNTIF($BF$50:$BF$55,3113)=0,"┄",IF(COUNTIF($BF$50:$BF$55,3113)&gt;1,IF($BF$50=3113,$BE$50,"")&amp;IF($BF$51=3113,$BE$51,"")&amp;IF($BF$52=3113,$BE$52,"")&amp;IF($BF$53=3113,$BE$53,"")&amp;IF($BF$54=3113,$BE$54,"")&amp;IF($BF$55=3113,$BE$55,""),IF($BF$50=3113,$BG$50,"")&amp;IF($BF$51=3113,$BG$51,"")&amp;IF($BF$52=3113,$BG$52,"")&amp;IF($BF$53=3113,$BG$53,"")&amp;IF($BF$54=3113,$BG$54,"")&amp;IF($BF$55=3113,$BG$55,"")))</x:f>
        <x:v>┄</x:v>
      </x:c>
      <x:c r="N31" s="408" t="str">
        <x:f>IF(COUNTIF($BF$50:$BF$55,3114)=0,"┄",IF(COUNTIF($BF$50:$BF$55,3114)&gt;1,IF($BF$50=3114,$BE$50,"")&amp;IF($BF$51=3114,$BE$51,"")&amp;IF($BF$52=3114,$BE$52,"")&amp;IF($BF$53=3114,$BE$53,"")&amp;IF($BF$54=3114,$BE$54,"")&amp;IF($BF$55=3114,$BE$55,""),IF($BF$50=3114,$BG$50,"")&amp;IF($BF$51=3114,$BG$51,"")&amp;IF($BF$52=3114,$BG$52,"")&amp;IF($BF$53=3114,$BG$53,"")&amp;IF($BF$54=3114,$BG$54,"")&amp;IF($BF$55=3114,$BG$55,"")))</x:f>
        <x:v>┄</x:v>
      </x:c>
      <x:c r="O31" s="408" t="str">
        <x:f>IF(COUNTIF($BF$50:$BF$55,3115)=0,"┄",IF(COUNTIF($BF$50:$BF$55,3115)&gt;1,IF($BF$50=3115,$BE$50,"")&amp;IF($BF$51=3115,$BE$51,"")&amp;IF($BF$52=3115,$BE$52,"")&amp;IF($BF$53=3115,$BE$53,"")&amp;IF($BF$54=3115,$BE$54,"")&amp;IF($BF$55=3115,$BE$55,""),IF($BF$50=3115,$BG$50,"")&amp;IF($BF$51=3115,$BG$51,"")&amp;IF($BF$52=3115,$BG$52,"")&amp;IF($BF$53=3115,$BG$53,"")&amp;IF($BF$54=3115,$BG$54,"")&amp;IF($BF$55=3115,$BG$55,"")))</x:f>
        <x:v>┄</x:v>
      </x:c>
      <x:c r="P31" s="412" t="str">
        <x:f>IF(COUNTIF($BF$50:$BF$55,3116)=0,"┄",IF(COUNTIF($BF$50:$BF$55,3116)&gt;1,IF($BF$50=3116,$BE$50,"")&amp;IF($BF$51=3116,$BE$51,"")&amp;IF($BF$52=3116,$BE$52,"")&amp;IF($BF$53=3116,$BE$53,"")&amp;IF($BF$54=3116,$BE$54,"")&amp;IF($BF$55=3116,$BE$55,""),IF($BF$50=3116,$BG$50,"")&amp;IF($BF$51=3116,$BG$51,"")&amp;IF($BF$52=3116,$BG$52,"")&amp;IF($BF$53=3116,$BG$53,"")&amp;IF($BF$54=3116,$BG$54,"")&amp;IF($BF$55=3116,$BG$55,"")))</x:f>
        <x:v>←1</x:v>
      </x:c>
      <x:c r="Q31" s="418" t="str">
        <x:f>IF(COUNTIF($BF$50:$BF$55,3117)=0,"┄",IF(COUNTIF($BF$50:$BF$55,3117)&gt;1,IF($BF$50=3117,$BE$50,"")&amp;IF($BF$51=3117,$BE$51,"")&amp;IF($BF$52=3117,$BE$52,"")&amp;IF($BF$53=3117,$BE$53,"")&amp;IF($BF$54=3117,$BE$54,"")&amp;IF($BF$55=3117,$BE$55,""),IF($BF$50=3117,$BG$50,"")&amp;IF($BF$51=3117,$BG$51,"")&amp;IF($BF$52=3117,$BG$52,"")&amp;IF($BF$53=3117,$BG$53,"")&amp;IF($BF$54=3117,$BG$54,"")&amp;IF($BF$55=3117,$BG$55,"")))</x:f>
        <x:v>┄</x:v>
      </x:c>
      <x:c r="R31" s="408" t="str">
        <x:f>IF(COUNTIF($BF$50:$BF$55,3118)=0,"┄",IF(COUNTIF($BF$50:$BF$55,3118)&gt;1,IF($BF$50=3118,$BE$50,"")&amp;IF($BF$51=3118,$BE$51,"")&amp;IF($BF$52=3118,$BE$52,"")&amp;IF($BF$53=3118,$BE$53,"")&amp;IF($BF$54=3118,$BE$54,"")&amp;IF($BF$55=3118,$BE$55,""),IF($BF$50=3118,$BG$50,"")&amp;IF($BF$51=3118,$BG$51,"")&amp;IF($BF$52=3118,$BG$52,"")&amp;IF($BF$53=3118,$BG$53,"")&amp;IF($BF$54=3118,$BG$54,"")&amp;IF($BF$55=3118,$BG$55,"")))</x:f>
        <x:v>┄</x:v>
      </x:c>
      <x:c r="S31" s="408" t="str">
        <x:f>IF(COUNTIF($BF$50:$BF$55,3119)=0,"┄",IF(COUNTIF($BF$50:$BF$55,3119)&gt;1,IF($BF$50=3119,$BE$50,"")&amp;IF($BF$51=3119,$BE$51,"")&amp;IF($BF$52=3119,$BE$52,"")&amp;IF($BF$53=3119,$BE$53,"")&amp;IF($BF$54=3119,$BE$54,"")&amp;IF($BF$55=3119,$BE$55,""),IF($BF$50=3119,$BG$50,"")&amp;IF($BF$51=3119,$BG$51,"")&amp;IF($BF$52=3119,$BG$52,"")&amp;IF($BF$53=3119,$BG$53,"")&amp;IF($BF$54=3119,$BG$54,"")&amp;IF($BF$55=3119,$BG$55,"")))</x:f>
        <x:v>┄</x:v>
      </x:c>
      <x:c r="T31" s="408" t="str">
        <x:f>IF(COUNTIF($BF$50:$BF$55,3120)=0,"┄",IF(COUNTIF($BF$50:$BF$55,3120)&gt;1,IF($BF$50=3120,$BE$50,"")&amp;IF($BF$51=3120,$BE$51,"")&amp;IF($BF$52=3120,$BE$52,"")&amp;IF($BF$53=3120,$BE$53,"")&amp;IF($BF$54=3120,$BE$54,"")&amp;IF($BF$55=3120,$BE$55,""),IF($BF$50=3120,$BG$50,"")&amp;IF($BF$51=3120,$BG$51,"")&amp;IF($BF$52=3120,$BG$52,"")&amp;IF($BF$53=3120,$BG$53,"")&amp;IF($BF$54=3120,$BG$54,"")&amp;IF($BF$55=3120,$BG$55,"")))</x:f>
        <x:v>┄</x:v>
      </x:c>
      <x:c r="U31" s="408" t="str">
        <x:f>IF(COUNTIF($BF$50:$BF$55,3121)=0,"┄",IF(COUNTIF($BF$50:$BF$55,3121)&gt;1,IF($BF$50=3121,$BE$50,"")&amp;IF($BF$51=3121,$BE$51,"")&amp;IF($BF$52=3121,$BE$52,"")&amp;IF($BF$53=3121,$BE$53,"")&amp;IF($BF$54=3121,$BE$54,"")&amp;IF($BF$55=3121,$BE$55,""),IF($BF$50=3121,$BG$50,"")&amp;IF($BF$51=3121,$BG$51,"")&amp;IF($BF$52=3121,$BG$52,"")&amp;IF($BF$53=3121,$BG$53,"")&amp;IF($BF$54=3121,$BG$54,"")&amp;IF($BF$55=3121,$BG$55,"")))</x:f>
        <x:v>┄</x:v>
      </x:c>
      <x:c r="V31" s="408" t="str">
        <x:f>IF(COUNTIF($BF$50:$BF$55,3122)=0,"┄",IF(COUNTIF($BF$50:$BF$55,3122)&gt;1,IF($BF$50=3122,$BE$50,"")&amp;IF($BF$51=3122,$BE$51,"")&amp;IF($BF$52=3122,$BE$52,"")&amp;IF($BF$53=3122,$BE$53,"")&amp;IF($BF$54=3122,$BE$54,"")&amp;IF($BF$55=3122,$BE$55,""),IF($BF$50=3122,$BG$50,"")&amp;IF($BF$51=3122,$BG$51,"")&amp;IF($BF$52=3122,$BG$52,"")&amp;IF($BF$53=3122,$BG$53,"")&amp;IF($BF$54=3122,$BG$54,"")&amp;IF($BF$55=3122,$BG$55,"")))</x:f>
        <x:v>┄</x:v>
      </x:c>
      <x:c r="W31" s="408" t="str">
        <x:f>IF(COUNTIF($BF$50:$BF$55,3123)=0,"┄",IF(COUNTIF($BF$50:$BF$55,3123)&gt;1,IF($BF$50=3123,$BE$50,"")&amp;IF($BF$51=3123,$BE$51,"")&amp;IF($BF$52=3123,$BE$52,"")&amp;IF($BF$53=3123,$BE$53,"")&amp;IF($BF$54=3123,$BE$54,"")&amp;IF($BF$55=3123,$BE$55,""),IF($BF$50=3123,$BG$50,"")&amp;IF($BF$51=3123,$BG$51,"")&amp;IF($BF$52=3123,$BG$52,"")&amp;IF($BF$53=3123,$BG$53,"")&amp;IF($BF$54=3123,$BG$54,"")&amp;IF($BF$55=3123,$BG$55,"")))</x:f>
        <x:v>┄</x:v>
      </x:c>
      <x:c r="X31" s="408" t="str">
        <x:f>IF(COUNTIF($BF$50:$BF$55,3124)=0,"┄",IF(COUNTIF($BF$50:$BF$55,3124)&gt;1,IF($BF$50=3124,$BE$50,"")&amp;IF($BF$51=3124,$BE$51,"")&amp;IF($BF$52=3124,$BE$52,"")&amp;IF($BF$53=3124,$BE$53,"")&amp;IF($BF$54=3124,$BE$54,"")&amp;IF($BF$55=3124,$BE$55,""),IF($BF$50=3124,$BG$50,"")&amp;IF($BF$51=3124,$BG$51,"")&amp;IF($BF$52=3124,$BG$52,"")&amp;IF($BF$53=3124,$BG$53,"")&amp;IF($BF$54=3124,$BG$54,"")&amp;IF($BF$55=3124,$BG$55,"")))</x:f>
        <x:v>┄</x:v>
      </x:c>
      <x:c r="Y31" s="408" t="str">
        <x:f>IF(COUNTIF($BF$50:$BF$55,3125)=0,"┄",IF(COUNTIF($BF$50:$BF$55,3125)&gt;1,IF($BF$50=3125,$BE$50,"")&amp;IF($BF$51=3125,$BE$51,"")&amp;IF($BF$52=3125,$BE$52,"")&amp;IF($BF$53=3125,$BE$53,"")&amp;IF($BF$54=3125,$BE$54,"")&amp;IF($BF$55=3125,$BE$55,""),IF($BF$50=3125,$BG$50,"")&amp;IF($BF$51=3125,$BG$51,"")&amp;IF($BF$52=3125,$BG$52,"")&amp;IF($BF$53=3125,$BG$53,"")&amp;IF($BF$54=3125,$BG$54,"")&amp;IF($BF$55=3125,$BG$55,"")))</x:f>
        <x:v>┄</x:v>
      </x:c>
      <x:c r="Z31" s="408" t="str">
        <x:f>IF(COUNTIF($BF$50:$BF$55,3126)=0,"┄",IF(COUNTIF($BF$50:$BF$55,3126)&gt;1,IF($BF$50=3126,$BE$50,"")&amp;IF($BF$51=3126,$BE$51,"")&amp;IF($BF$52=3126,$BE$52,"")&amp;IF($BF$53=3126,$BE$53,"")&amp;IF($BF$54=3126,$BE$54,"")&amp;IF($BF$55=3126,$BE$55,""),IF($BF$50=3126,$BG$50,"")&amp;IF($BF$51=3126,$BG$51,"")&amp;IF($BF$52=3126,$BG$52,"")&amp;IF($BF$53=3126,$BG$53,"")&amp;IF($BF$54=3126,$BG$54,"")&amp;IF($BF$55=3126,$BG$55,"")))</x:f>
        <x:v>┄</x:v>
      </x:c>
      <x:c r="AA31" s="408" t="str">
        <x:f>IF(COUNTIF($BF$50:$BF$55,3127)=0,"┄",IF(COUNTIF($BF$50:$BF$55,3127)&gt;1,IF($BF$50=3127,$BE$50,"")&amp;IF($BF$51=3127,$BE$51,"")&amp;IF($BF$52=3127,$BE$52,"")&amp;IF($BF$53=3127,$BE$53,"")&amp;IF($BF$54=3127,$BE$54,"")&amp;IF($BF$55=3127,$BE$55,""),IF($BF$50=3127,$BG$50,"")&amp;IF($BF$51=3127,$BG$51,"")&amp;IF($BF$52=3127,$BG$52,"")&amp;IF($BF$53=3127,$BG$53,"")&amp;IF($BF$54=3127,$BG$54,"")&amp;IF($BF$55=3127,$BG$55,"")))</x:f>
        <x:v>┄</x:v>
      </x:c>
      <x:c r="AB31" s="408" t="str">
        <x:f>IF(COUNTIF($BF$50:$BF$55,3128)=0,"┄",IF(COUNTIF($BF$50:$BF$55,3128)&gt;1,IF($BF$50=3128,$BE$50,"")&amp;IF($BF$51=3128,$BE$51,"")&amp;IF($BF$52=3128,$BE$52,"")&amp;IF($BF$53=3128,$BE$53,"")&amp;IF($BF$54=3128,$BE$54,"")&amp;IF($BF$55=3128,$BE$55,""),IF($BF$50=3128,$BG$50,"")&amp;IF($BF$51=3128,$BG$51,"")&amp;IF($BF$52=3128,$BG$52,"")&amp;IF($BF$53=3128,$BG$53,"")&amp;IF($BF$54=3128,$BG$54,"")&amp;IF($BF$55=3128,$BG$55,"")))</x:f>
        <x:v>┄</x:v>
      </x:c>
      <x:c r="AC31" s="408" t="str">
        <x:f>IF(COUNTIF($BF$50:$BF$55,3129)=0,"┄",IF(COUNTIF($BF$50:$BF$55,3129)&gt;1,IF($BF$50=3129,$BE$50,"")&amp;IF($BF$51=3129,$BE$51,"")&amp;IF($BF$52=3129,$BE$52,"")&amp;IF($BF$53=3129,$BE$53,"")&amp;IF($BF$54=3129,$BE$54,"")&amp;IF($BF$55=3129,$BE$55,""),IF($BF$50=3129,$BG$50,"")&amp;IF($BF$51=3129,$BG$51,"")&amp;IF($BF$52=3129,$BG$52,"")&amp;IF($BF$53=3129,$BG$53,"")&amp;IF($BF$54=3129,$BG$54,"")&amp;IF($BF$55=3129,$BG$55,"")))</x:f>
        <x:v>┄</x:v>
      </x:c>
      <x:c r="AD31" s="408" t="str">
        <x:f>IF(COUNTIF($BF$50:$BF$55,3130)=0,"┄",IF(COUNTIF($BF$50:$BF$55,3130)&gt;1,IF($BF$50=3130,$BE$50,"")&amp;IF($BF$51=3130,$BE$51,"")&amp;IF($BF$52=3130,$BE$52,"")&amp;IF($BF$53=3130,$BE$53,"")&amp;IF($BF$54=3130,$BE$54,"")&amp;IF($BF$55=3130,$BE$55,""),IF($BF$50=3130,$BG$50,"")&amp;IF($BF$51=3130,$BG$51,"")&amp;IF($BF$52=3130,$BG$52,"")&amp;IF($BF$53=3130,$BG$53,"")&amp;IF($BF$54=3130,$BG$54,"")&amp;IF($BF$55=3130,$BG$55,"")))</x:f>
        <x:v>┄</x:v>
      </x:c>
      <x:c r="AE31" s="408" t="str">
        <x:f>IF(COUNTIF($BF$50:$BF$55,3131)=0,"┄",IF(COUNTIF($BF$50:$BF$55,3131)&gt;1,IF($BF$50=3131,$BE$50,"")&amp;IF($BF$51=3131,$BE$51,"")&amp;IF($BF$52=3131,$BE$52,"")&amp;IF($BF$53=3131,$BE$53,"")&amp;IF($BF$54=3131,$BE$54,"")&amp;IF($BF$55=3131,$BE$55,""),IF($BF$50=3131,$BG$50,"")&amp;IF($BF$51=3131,$BG$51,"")&amp;IF($BF$52=3131,$BG$52,"")&amp;IF($BF$53=3131,$BG$53,"")&amp;IF($BF$54=3131,$BG$54,"")&amp;IF($BF$55=3131,$BG$55,"")))</x:f>
        <x:v>┄</x:v>
      </x:c>
      <x:c r="AF31" s="408" t="str">
        <x:f>IF(COUNTIF($BF$50:$BF$55,3132)=0,"┄",IF(COUNTIF($BF$50:$BF$55,3132)&gt;1,IF($BF$50=3132,$BE$50,"")&amp;IF($BF$51=3132,$BE$51,"")&amp;IF($BF$52=3132,$BE$52,"")&amp;IF($BF$53=3132,$BE$53,"")&amp;IF($BF$54=3132,$BE$54,"")&amp;IF($BF$55=3132,$BE$55,""),IF($BF$50=3132,$BG$50,"")&amp;IF($BF$51=3132,$BG$51,"")&amp;IF($BF$52=3132,$BG$52,"")&amp;IF($BF$53=3132,$BG$53,"")&amp;IF($BF$54=3132,$BG$54,"")&amp;IF($BF$55=3132,$BG$55,"")))</x:f>
        <x:v>┄</x:v>
      </x:c>
      <x:c r="AG31" s="408" t="str">
        <x:f>IF(COUNTIF($BF$50:$BF$55,3133)=0,"┄",IF(COUNTIF($BF$50:$BF$55,3133)&gt;1,IF($BF$50=3133,$BE$50,"")&amp;IF($BF$51=3133,$BE$51,"")&amp;IF($BF$52=3133,$BE$52,"")&amp;IF($BF$53=3133,$BE$53,"")&amp;IF($BF$54=3133,$BE$54,"")&amp;IF($BF$55=3133,$BE$55,""),IF($BF$50=3133,$BG$50,"")&amp;IF($BF$51=3133,$BG$51,"")&amp;IF($BF$52=3133,$BG$52,"")&amp;IF($BF$53=3133,$BG$53,"")&amp;IF($BF$54=3133,$BG$54,"")&amp;IF($BF$55=3133,$BG$55,"")))</x:f>
        <x:v>┄</x:v>
      </x:c>
      <x:c r="AH31" s="408" t="str">
        <x:f>IF(COUNTIF($BF$50:$BF$55,3134)=0,"┄",IF(COUNTIF($BF$50:$BF$55,3134)&gt;1,IF($BF$50=3134,$BE$50,"")&amp;IF($BF$51=3134,$BE$51,"")&amp;IF($BF$52=3134,$BE$52,"")&amp;IF($BF$53=3134,$BE$53,"")&amp;IF($BF$54=3134,$BE$54,"")&amp;IF($BF$55=3134,$BE$55,""),IF($BF$50=3134,$BG$50,"")&amp;IF($BF$51=3134,$BG$51,"")&amp;IF($BF$52=3134,$BG$52,"")&amp;IF($BF$53=3134,$BG$53,"")&amp;IF($BF$54=3134,$BG$54,"")&amp;IF($BF$55=3134,$BG$55,"")))</x:f>
        <x:v>┄</x:v>
      </x:c>
      <x:c r="AI31" s="408" t="str">
        <x:f>IF(COUNTIF($BF$50:$BF$55,3135)=0,"┄",IF(COUNTIF($BF$50:$BF$55,3135)&gt;1,IF($BF$50=3135,$BE$50,"")&amp;IF($BF$51=3135,$BE$51,"")&amp;IF($BF$52=3135,$BE$52,"")&amp;IF($BF$53=3135,$BE$53,"")&amp;IF($BF$54=3135,$BE$54,"")&amp;IF($BF$55=3135,$BE$55,""),IF($BF$50=3135,$BG$50,"")&amp;IF($BF$51=3135,$BG$51,"")&amp;IF($BF$52=3135,$BG$52,"")&amp;IF($BF$53=3135,$BG$53,"")&amp;IF($BF$54=3135,$BG$54,"")&amp;IF($BF$55=3135,$BG$55,"")))</x:f>
        <x:v>┄</x:v>
      </x:c>
      <x:c r="AJ31" s="408" t="str">
        <x:f>IF(COUNTIF($BF$50:$BF$55,3136)=0,"┄",IF(COUNTIF($BF$50:$BF$55,3136)&gt;1,IF($BF$50=3136,$BE$50,"")&amp;IF($BF$51=3136,$BE$51,"")&amp;IF($BF$52=3136,$BE$52,"")&amp;IF($BF$53=3136,$BE$53,"")&amp;IF($BF$54=3136,$BE$54,"")&amp;IF($BF$55=3136,$BE$55,""),IF($BF$50=3136,$BG$50,"")&amp;IF($BF$51=3136,$BG$51,"")&amp;IF($BF$52=3136,$BG$52,"")&amp;IF($BF$53=3136,$BG$53,"")&amp;IF($BF$54=3136,$BG$54,"")&amp;IF($BF$55=3136,$BG$55,"")))</x:f>
        <x:v>┄</x:v>
      </x:c>
      <x:c r="AK31" s="408" t="str">
        <x:f>IF(COUNTIF($BF$50:$BF$55,3137)=0,"┄",IF(COUNTIF($BF$50:$BF$55,3137)&gt;1,IF($BF$50=3137,$BE$50,"")&amp;IF($BF$51=3137,$BE$51,"")&amp;IF($BF$52=3137,$BE$52,"")&amp;IF($BF$53=3137,$BE$53,"")&amp;IF($BF$54=3137,$BE$54,"")&amp;IF($BF$55=3137,$BE$55,""),IF($BF$50=3137,$BG$50,"")&amp;IF($BF$51=3137,$BG$51,"")&amp;IF($BF$52=3137,$BG$52,"")&amp;IF($BF$53=3137,$BG$53,"")&amp;IF($BF$54=3137,$BG$54,"")&amp;IF($BF$55=3137,$BG$55,"")))</x:f>
        <x:v>┄</x:v>
      </x:c>
      <x:c r="AL31" s="408" t="str">
        <x:f>IF(COUNTIF($BF$50:$BF$55,3138)=0,"┄",IF(COUNTIF($BF$50:$BF$55,3138)&gt;1,IF($BF$50=3138,$BE$50,"")&amp;IF($BF$51=3138,$BE$51,"")&amp;IF($BF$52=3138,$BE$52,"")&amp;IF($BF$53=3138,$BE$53,"")&amp;IF($BF$54=3138,$BE$54,"")&amp;IF($BF$55=3138,$BE$55,""),IF($BF$50=3138,$BG$50,"")&amp;IF($BF$51=3138,$BG$51,"")&amp;IF($BF$52=3138,$BG$52,"")&amp;IF($BF$53=3138,$BG$53,"")&amp;IF($BF$54=3138,$BG$54,"")&amp;IF($BF$55=3138,$BG$55,"")))</x:f>
        <x:v>┄</x:v>
      </x:c>
      <x:c r="AM31" s="408" t="str">
        <x:f>IF(COUNTIF($BF$50:$BF$55,3139)=0,"┄",IF(COUNTIF($BF$50:$BF$55,3139)&gt;1,IF($BF$50=3139,$BE$50,"")&amp;IF($BF$51=3139,$BE$51,"")&amp;IF($BF$52=3139,$BE$52,"")&amp;IF($BF$53=3139,$BE$53,"")&amp;IF($BF$54=3139,$BE$54,"")&amp;IF($BF$55=3139,$BE$55,""),IF($BF$50=3139,$BG$50,"")&amp;IF($BF$51=3139,$BG$51,"")&amp;IF($BF$52=3139,$BG$52,"")&amp;IF($BF$53=3139,$BG$53,"")&amp;IF($BF$54=3139,$BG$54,"")&amp;IF($BF$55=3139,$BG$55,"")))</x:f>
        <x:v>┄</x:v>
      </x:c>
      <x:c r="AN31" s="408" t="str">
        <x:f>IF(COUNTIF($BF$50:$BF$55,3140)=0,"┄",IF(COUNTIF($BF$50:$BF$55,3140)&gt;1,IF($BF$50=3140,$BE$50,"")&amp;IF($BF$51=3140,$BE$51,"")&amp;IF($BF$52=3140,$BE$52,"")&amp;IF($BF$53=3140,$BE$53,"")&amp;IF($BF$54=3140,$BE$54,"")&amp;IF($BF$55=3140,$BE$55,""),IF($BF$50=3140,$BG$50,"")&amp;IF($BF$51=3140,$BG$51,"")&amp;IF($BF$52=3140,$BG$52,"")&amp;IF($BF$53=3140,$BG$53,"")&amp;IF($BF$54=3140,$BG$54,"")&amp;IF($BF$55=3140,$BG$55,"")))</x:f>
        <x:v>┄</x:v>
      </x:c>
      <x:c r="AO31" s="408" t="str">
        <x:f>IF(COUNTIF($BF$50:$BF$55,3141)=0,"┄",IF(COUNTIF($BF$50:$BF$55,3141)&gt;1,IF($BF$50=3141,$BE$50,"")&amp;IF($BF$51=3141,$BE$51,"")&amp;IF($BF$52=3141,$BE$52,"")&amp;IF($BF$53=3141,$BE$53,"")&amp;IF($BF$54=3141,$BE$54,"")&amp;IF($BF$55=3141,$BE$55,""),IF($BF$50=3141,$BG$50,"")&amp;IF($BF$51=3141,$BG$51,"")&amp;IF($BF$52=3141,$BG$52,"")&amp;IF($BF$53=3141,$BG$53,"")&amp;IF($BF$54=3141,$BG$54,"")&amp;IF($BF$55=3141,$BG$55,"")))</x:f>
        <x:v>┄</x:v>
      </x:c>
      <x:c r="AP31" s="408" t="str">
        <x:f>IF(COUNTIF($BF$50:$BF$55,3142)=0,"┄",IF(COUNTIF($BF$50:$BF$55,3142)&gt;1,IF($BF$50=3142,$BE$50,"")&amp;IF($BF$51=3142,$BE$51,"")&amp;IF($BF$52=3142,$BE$52,"")&amp;IF($BF$53=3142,$BE$53,"")&amp;IF($BF$54=3142,$BE$54,"")&amp;IF($BF$55=3142,$BE$55,""),IF($BF$50=3142,$BG$50,"")&amp;IF($BF$51=3142,$BG$51,"")&amp;IF($BF$52=3142,$BG$52,"")&amp;IF($BF$53=3142,$BG$53,"")&amp;IF($BF$54=3142,$BG$54,"")&amp;IF($BF$55=3142,$BG$55,"")))</x:f>
        <x:v>┄</x:v>
      </x:c>
      <x:c r="AQ31" s="408" t="str">
        <x:f>IF(COUNTIF($BF$50:$BF$55,3143)=0,"┄",IF(COUNTIF($BF$50:$BF$55,3143)&gt;1,IF($BF$50=3143,$BE$50,"")&amp;IF($BF$51=3143,$BE$51,"")&amp;IF($BF$52=3143,$BE$52,"")&amp;IF($BF$53=3143,$BE$53,"")&amp;IF($BF$54=3143,$BE$54,"")&amp;IF($BF$55=3143,$BE$55,""),IF($BF$50=3143,$BG$50,"")&amp;IF($BF$51=3143,$BG$51,"")&amp;IF($BF$52=3143,$BG$52,"")&amp;IF($BF$53=3143,$BG$53,"")&amp;IF($BF$54=3143,$BG$54,"")&amp;IF($BF$55=3143,$BG$55,"")))</x:f>
        <x:v>┄</x:v>
      </x:c>
      <x:c r="AR31" s="408" t="str">
        <x:f>IF(COUNTIF($BF$50:$BF$55,3144)=0,"┄",IF(COUNTIF($BF$50:$BF$55,3144)&gt;1,IF($BF$50=3144,$BE$50,"")&amp;IF($BF$51=3144,$BE$51,"")&amp;IF($BF$52=3144,$BE$52,"")&amp;IF($BF$53=3144,$BE$53,"")&amp;IF($BF$54=3144,$BE$54,"")&amp;IF($BF$55=3144,$BE$55,""),IF($BF$50=3144,$BG$50,"")&amp;IF($BF$51=3144,$BG$51,"")&amp;IF($BF$52=3144,$BG$52,"")&amp;IF($BF$53=3144,$BG$53,"")&amp;IF($BF$54=3144,$BG$54,"")&amp;IF($BF$55=3144,$BG$55,"")))</x:f>
        <x:v>┄</x:v>
      </x:c>
      <x:c r="AS31" s="408" t="str">
        <x:f>IF(COUNTIF($BF$50:$BF$55,3145)=0,"┄",IF(COUNTIF($BF$50:$BF$55,3145)&gt;1,IF($BF$50=3145,$BE$50,"")&amp;IF($BF$51=3145,$BE$51,"")&amp;IF($BF$52=3145,$BE$52,"")&amp;IF($BF$53=3145,$BE$53,"")&amp;IF($BF$54=3145,$BE$54,"")&amp;IF($BF$55=3145,$BE$55,""),IF($BF$50=3145,$BG$50,"")&amp;IF($BF$51=3145,$BG$51,"")&amp;IF($BF$52=3145,$BG$52,"")&amp;IF($BF$53=3145,$BG$53,"")&amp;IF($BF$54=3145,$BG$54,"")&amp;IF($BF$55=3145,$BG$55,"")))</x:f>
        <x:v>┄</x:v>
      </x:c>
      <x:c r="AT31" s="408" t="str">
        <x:f>IF(COUNTIF($BF$50:$BF$55,3146)=0,"┄",IF(COUNTIF($BF$50:$BF$55,3146)&gt;1,IF($BF$50=3146,$BE$50,"")&amp;IF($BF$51=3146,$BE$51,"")&amp;IF($BF$52=3146,$BE$52,"")&amp;IF($BF$53=3146,$BE$53,"")&amp;IF($BF$54=3146,$BE$54,"")&amp;IF($BF$55=3146,$BE$55,""),IF($BF$50=3146,$BG$50,"")&amp;IF($BF$51=3146,$BG$51,"")&amp;IF($BF$52=3146,$BG$52,"")&amp;IF($BF$53=3146,$BG$53,"")&amp;IF($BF$54=3146,$BG$54,"")&amp;IF($BF$55=3146,$BG$55,"")))</x:f>
        <x:v>┄</x:v>
      </x:c>
      <x:c r="AU31" s="408" t="str">
        <x:f>IF(COUNTIF($BF$50:$BF$55,3147)=0,"┄",IF(COUNTIF($BF$50:$BF$55,3147)&gt;1,IF($BF$50=3147,$BE$50,"")&amp;IF($BF$51=3147,$BE$51,"")&amp;IF($BF$52=3147,$BE$52,"")&amp;IF($BF$53=3147,$BE$53,"")&amp;IF($BF$54=3147,$BE$54,"")&amp;IF($BF$55=3147,$BE$55,""),IF($BF$50=3147,$BG$50,"")&amp;IF($BF$51=3147,$BG$51,"")&amp;IF($BF$52=3147,$BG$52,"")&amp;IF($BF$53=3147,$BG$53,"")&amp;IF($BF$54=3147,$BG$54,"")&amp;IF($BF$55=3147,$BG$55,"")))</x:f>
        <x:v>┄</x:v>
      </x:c>
      <x:c r="AV31" s="408" t="str">
        <x:f>IF(COUNTIF($BF$50:$BF$55,3148)=0,"┄",IF(COUNTIF($BF$50:$BF$55,3148)&gt;1,IF($BF$50=3148,$BE$50,"")&amp;IF($BF$51=3148,$BE$51,"")&amp;IF($BF$52=3148,$BE$52,"")&amp;IF($BF$53=3148,$BE$53,"")&amp;IF($BF$54=3148,$BE$54,"")&amp;IF($BF$55=3148,$BE$55,""),IF($BF$50=3148,$BG$50,"")&amp;IF($BF$51=3148,$BG$51,"")&amp;IF($BF$52=3148,$BG$52,"")&amp;IF($BF$53=3148,$BG$53,"")&amp;IF($BF$54=3148,$BG$54,"")&amp;IF($BF$55=3148,$BG$55,"")))</x:f>
        <x:v>┄</x:v>
      </x:c>
      <x:c r="AW31" s="408" t="str">
        <x:f>IF(COUNTIF($BF$50:$BF$55,3149)=0,"┄",IF(COUNTIF($BF$50:$BF$55,3149)&gt;1,IF($BF$50=3149,$BE$50,"")&amp;IF($BF$51=3149,$BE$51,"")&amp;IF($BF$52=3149,$BE$52,"")&amp;IF($BF$53=3149,$BE$53,"")&amp;IF($BF$54=3149,$BE$54,"")&amp;IF($BF$55=3149,$BE$55,""),IF($BF$50=3149,$BG$50,"")&amp;IF($BF$51=3149,$BG$51,"")&amp;IF($BF$52=3149,$BG$52,"")&amp;IF($BF$53=3149,$BG$53,"")&amp;IF($BF$54=3149,$BG$54,"")&amp;IF($BF$55=3149,$BG$55,"")))</x:f>
        <x:v>┄</x:v>
      </x:c>
      <x:c r="AX31" s="408" t="str">
        <x:f>IF(COUNTIF($BF$50:$BF$55,3150)=0,"┄",IF(COUNTIF($BF$50:$BF$55,3150)&gt;1,IF($BF$50=3150,$BE$50,"")&amp;IF($BF$51=3150,$BE$51,"")&amp;IF($BF$52=3150,$BE$52,"")&amp;IF($BF$53=3150,$BE$53,"")&amp;IF($BF$54=3150,$BE$54,"")&amp;IF($BF$55=3150,$BE$55,""),IF($BF$50=3150,$BG$50,"")&amp;IF($BF$51=3150,$BG$51,"")&amp;IF($BF$52=3150,$BG$52,"")&amp;IF($BF$53=3150,$BG$53,"")&amp;IF($BF$54=3150,$BG$54,"")&amp;IF($BF$55=3150,$BG$55,"")))</x:f>
        <x:v>┄</x:v>
      </x:c>
      <x:c r="AY31" s="168" t="str">
        <x:v>┄</x:v>
      </x:c>
      <x:c r="AZ31" s="168" t="str">
        <x:v>┆</x:v>
      </x:c>
      <x:c r="BA31" s="150"/>
      <x:c r="BB31" s="130"/>
      <x:c r="BC31" s="130"/>
      <x:c r="BD31" s="109"/>
      <x:c r="BE31" s="336"/>
      <x:c r="BF31" s="337"/>
      <x:c r="BG31" s="422"/>
      <x:c r="BH31" s="422"/>
      <x:c r="BI31" s="422"/>
      <x:c r="BJ31" s="422"/>
      <x:c r="BK31" s="422"/>
      <x:c r="BL31" s="422"/>
      <x:c r="BM31" s="342"/>
      <x:c r="BN31" s="342"/>
      <x:c r="BO31" s="342"/>
      <x:c r="BP31" s="342"/>
      <x:c r="BQ31" s="342"/>
      <x:c r="BR31" s="342"/>
      <x:c r="BS31" s="343"/>
    </x:row>
    <x:row r="32" ht="13.5" customHeight="1">
      <x:c r="A32" s="130"/>
      <x:c r="B32" s="150"/>
      <x:c r="C32" s="134"/>
      <x:c r="D32" s="134"/>
      <x:c r="E32" s="134"/>
      <x:c r="F32" s="134"/>
      <x:c r="G32" s="134"/>
      <x:c r="H32" s="134"/>
      <x:c r="I32" s="134"/>
      <x:c r="J32" s="134"/>
      <x:c r="K32" s="134"/>
      <x:c r="L32" s="134"/>
      <x:c r="M32" s="134"/>
      <x:c r="N32" s="134"/>
      <x:c r="O32" s="134"/>
      <x:c r="P32" s="192"/>
      <x:c r="Q32" s="193"/>
      <x:c r="R32" s="134"/>
      <x:c r="S32" s="134"/>
      <x:c r="T32" s="134"/>
      <x:c r="U32" s="134"/>
      <x:c r="V32" s="134"/>
      <x:c r="W32" s="134"/>
      <x:c r="X32" s="134"/>
      <x:c r="Y32" s="134"/>
      <x:c r="Z32" s="134"/>
      <x:c r="AA32" s="134"/>
      <x:c r="AB32" s="134"/>
      <x:c r="AC32" s="134"/>
      <x:c r="AD32" s="134"/>
      <x:c r="AE32" s="134"/>
      <x:c r="AF32" s="134"/>
      <x:c r="AG32" s="134"/>
      <x:c r="AH32" s="134"/>
      <x:c r="AI32" s="134"/>
      <x:c r="AJ32" s="134"/>
      <x:c r="AK32" s="134"/>
      <x:c r="AL32" s="134"/>
      <x:c r="AM32" s="134"/>
      <x:c r="AN32" s="134"/>
      <x:c r="AO32" s="134"/>
      <x:c r="AP32" s="134"/>
      <x:c r="AQ32" s="134"/>
      <x:c r="AR32" s="134"/>
      <x:c r="AS32" s="134"/>
      <x:c r="AT32" s="134"/>
      <x:c r="AU32" s="134"/>
      <x:c r="AV32" s="134"/>
      <x:c r="AW32" s="134"/>
      <x:c r="AX32" s="134"/>
      <x:c r="AY32" s="134"/>
      <x:c r="AZ32" s="134"/>
      <x:c r="BA32" s="149"/>
      <x:c r="BB32" s="130"/>
      <x:c r="BC32" s="130"/>
      <x:c r="BD32" s="109"/>
      <x:c r="BE32" s="346" t="n">
        <x:f>Live!A24</x:f>
        <x:v>6</x:v>
      </x:c>
      <x:c r="BF32" s="347"/>
      <x:c r="BG32" s="424" t="str">
        <x:f>TEXT(Live!B24,"00")&amp;"  "&amp;Live!C24</x:f>
        <x:v>02  蓝电</x:v>
      </x:c>
      <x:c r="BH32" s="424"/>
      <x:c r="BI32" s="424"/>
      <x:c r="BJ32" s="424"/>
      <x:c r="BK32" s="424"/>
      <x:c r="BL32" s="424"/>
      <x:c r="BM32" s="350" t="str">
        <x:f>IF(Live!I24&gt;=1,"END",Live!E24&amp;"/"&amp;Control!$B$6)</x:f>
        <x:v>3/5</x:v>
      </x:c>
      <x:c r="BN32" s="350"/>
      <x:c r="BO32" s="350"/>
      <x:c r="BP32" s="350" t="str">
        <x:f>IF(Live!I24&gt;=1,TEXT(Live!J24,"0.00")&amp;"s",IF(Live!A24=1,"LEAD","+"&amp;TEXT(Live!G24,"0.0")))</x:f>
        <x:v>+28.3</x:v>
      </x:c>
      <x:c r="BQ32" s="350"/>
      <x:c r="BR32" s="350"/>
      <x:c r="BS32" s="351"/>
    </x:row>
    <x:row r="33" ht="13.5" customHeight="1">
      <x:c r="A33" s="130"/>
      <x:c r="B33" s="156"/>
      <x:c r="C33" s="142"/>
      <x:c r="D33" s="141"/>
      <x:c r="E33" s="142"/>
      <x:c r="F33" s="141"/>
      <x:c r="G33" s="142"/>
      <x:c r="H33" s="141"/>
      <x:c r="I33" s="142"/>
      <x:c r="J33" s="141"/>
      <x:c r="K33" s="142"/>
      <x:c r="L33" s="141"/>
      <x:c r="M33" s="142"/>
      <x:c r="N33" s="141"/>
      <x:c r="O33" s="142"/>
      <x:c r="P33" s="141"/>
      <x:c r="Q33" s="142"/>
      <x:c r="R33" s="141"/>
      <x:c r="S33" s="142"/>
      <x:c r="T33" s="141"/>
      <x:c r="U33" s="142"/>
      <x:c r="V33" s="141"/>
      <x:c r="W33" s="142"/>
      <x:c r="X33" s="141"/>
      <x:c r="Y33" s="142"/>
      <x:c r="Z33" s="141"/>
      <x:c r="AA33" s="142"/>
      <x:c r="AB33" s="141"/>
      <x:c r="AC33" s="142"/>
      <x:c r="AD33" s="141"/>
      <x:c r="AE33" s="142"/>
      <x:c r="AF33" s="141"/>
      <x:c r="AG33" s="142"/>
      <x:c r="AH33" s="141"/>
      <x:c r="AI33" s="142"/>
      <x:c r="AJ33" s="141"/>
      <x:c r="AK33" s="142"/>
      <x:c r="AL33" s="141"/>
      <x:c r="AM33" s="142"/>
      <x:c r="AN33" s="141"/>
      <x:c r="AO33" s="142"/>
      <x:c r="AP33" s="141"/>
      <x:c r="AQ33" s="142"/>
      <x:c r="AR33" s="141"/>
      <x:c r="AS33" s="142"/>
      <x:c r="AT33" s="141"/>
      <x:c r="AU33" s="142"/>
      <x:c r="AV33" s="141"/>
      <x:c r="AW33" s="142"/>
      <x:c r="AX33" s="141"/>
      <x:c r="AY33" s="142"/>
      <x:c r="AZ33" s="141"/>
      <x:c r="BA33" s="148"/>
      <x:c r="BB33" s="130"/>
      <x:c r="BC33" s="130"/>
      <x:c r="BD33" s="109"/>
      <x:c r="BE33" s="346"/>
      <x:c r="BF33" s="347"/>
      <x:c r="BG33" s="424"/>
      <x:c r="BH33" s="424"/>
      <x:c r="BI33" s="424"/>
      <x:c r="BJ33" s="424"/>
      <x:c r="BK33" s="424"/>
      <x:c r="BL33" s="424"/>
      <x:c r="BM33" s="350"/>
      <x:c r="BN33" s="350"/>
      <x:c r="BO33" s="350"/>
      <x:c r="BP33" s="350"/>
      <x:c r="BQ33" s="350"/>
      <x:c r="BR33" s="350"/>
      <x:c r="BS33" s="351"/>
    </x:row>
    <x:row r="34" ht="13.5" customHeight="1">
      <x:c r="A34" s="130"/>
      <x:c r="B34" s="130"/>
      <x:c r="C34" s="130"/>
      <x:c r="D34" s="130"/>
      <x:c r="E34" s="202" t="str">
        <x:v>◉</x:v>
      </x:c>
      <x:c r="F34" s="202" t="str">
        <x:v>◉</x:v>
      </x:c>
      <x:c r="G34" s="202" t="str">
        <x:v>◉</x:v>
      </x:c>
      <x:c r="H34" s="202" t="str">
        <x:v>◉</x:v>
      </x:c>
      <x:c r="I34" s="202" t="str">
        <x:v>◉</x:v>
      </x:c>
      <x:c r="J34" s="202" t="str">
        <x:v>◉</x:v>
      </x:c>
      <x:c r="K34" s="202" t="str">
        <x:v>◉</x:v>
      </x:c>
      <x:c r="L34" s="202" t="str">
        <x:v>◉</x:v>
      </x:c>
      <x:c r="M34" s="202" t="str">
        <x:v>◉</x:v>
      </x:c>
      <x:c r="N34" s="202" t="str">
        <x:v>◉</x:v>
      </x:c>
      <x:c r="O34" s="202" t="str">
        <x:v>◉</x:v>
      </x:c>
      <x:c r="P34" s="202" t="str">
        <x:v>◉</x:v>
      </x:c>
      <x:c r="Q34" s="202" t="str">
        <x:v>◉</x:v>
      </x:c>
      <x:c r="R34" s="202" t="str">
        <x:v>◉</x:v>
      </x:c>
      <x:c r="S34" s="202" t="str">
        <x:v>◉</x:v>
      </x:c>
      <x:c r="T34" s="202" t="str">
        <x:v>◉</x:v>
      </x:c>
      <x:c r="U34" s="202" t="str">
        <x:v>◉</x:v>
      </x:c>
      <x:c r="V34" s="202" t="str">
        <x:v>◉</x:v>
      </x:c>
      <x:c r="W34" s="202" t="str">
        <x:v>◉</x:v>
      </x:c>
      <x:c r="X34" s="202" t="str">
        <x:v>◉</x:v>
      </x:c>
      <x:c r="Y34" s="202" t="str">
        <x:v>◉</x:v>
      </x:c>
      <x:c r="Z34" s="202" t="str">
        <x:v>◉</x:v>
      </x:c>
      <x:c r="AA34" s="202" t="str">
        <x:v>◉</x:v>
      </x:c>
      <x:c r="AB34" s="202" t="str">
        <x:v>◉</x:v>
      </x:c>
      <x:c r="AC34" s="202" t="str">
        <x:v>◉</x:v>
      </x:c>
      <x:c r="AD34" s="202" t="str">
        <x:v>◉</x:v>
      </x:c>
      <x:c r="AE34" s="202" t="str">
        <x:v>◉</x:v>
      </x:c>
      <x:c r="AF34" s="202" t="str">
        <x:v>◉</x:v>
      </x:c>
      <x:c r="AG34" s="202" t="str">
        <x:v>◉</x:v>
      </x:c>
      <x:c r="AH34" s="202" t="str">
        <x:v>◉</x:v>
      </x:c>
      <x:c r="AI34" s="202" t="str">
        <x:v>◉</x:v>
      </x:c>
      <x:c r="AJ34" s="202" t="str">
        <x:v>◉</x:v>
      </x:c>
      <x:c r="AK34" s="202" t="str">
        <x:v>◉</x:v>
      </x:c>
      <x:c r="AL34" s="202" t="str">
        <x:v>◉</x:v>
      </x:c>
      <x:c r="AM34" s="202" t="str">
        <x:v>◉</x:v>
      </x:c>
      <x:c r="AN34" s="202" t="str">
        <x:v>◉</x:v>
      </x:c>
      <x:c r="AO34" s="202" t="str">
        <x:v>◉</x:v>
      </x:c>
      <x:c r="AP34" s="202" t="str">
        <x:v>◉</x:v>
      </x:c>
      <x:c r="AQ34" s="202" t="str">
        <x:v>◉</x:v>
      </x:c>
      <x:c r="AR34" s="202" t="str">
        <x:v>◉</x:v>
      </x:c>
      <x:c r="AS34" s="202" t="str">
        <x:v>◉</x:v>
      </x:c>
      <x:c r="AT34" s="202" t="str">
        <x:v>◉</x:v>
      </x:c>
      <x:c r="AU34" s="130"/>
      <x:c r="AV34" s="130"/>
      <x:c r="AW34" s="130"/>
      <x:c r="AX34" s="130"/>
      <x:c r="AY34" s="130"/>
      <x:c r="AZ34" s="130"/>
      <x:c r="BA34" s="130"/>
      <x:c r="BB34" s="130"/>
      <x:c r="BC34" s="130"/>
      <x:c r="BD34" s="109"/>
      <x:c r="BE34" s="253"/>
      <x:c r="BF34" s="248"/>
      <x:c r="BG34" s="248"/>
      <x:c r="BH34" s="248"/>
      <x:c r="BI34" s="248"/>
      <x:c r="BJ34" s="248"/>
      <x:c r="BK34" s="248"/>
      <x:c r="BL34" s="248"/>
      <x:c r="BM34" s="248"/>
      <x:c r="BN34" s="248"/>
      <x:c r="BO34" s="248"/>
      <x:c r="BP34" s="248"/>
      <x:c r="BQ34" s="248"/>
      <x:c r="BR34" s="248"/>
      <x:c r="BS34" s="254"/>
    </x:row>
    <x:row r="35" ht="13.5" customHeight="1">
      <x:c r="A35" s="130"/>
      <x:c r="B35" s="130"/>
      <x:c r="C35" s="130"/>
      <x:c r="D35" s="130"/>
      <x:c r="E35" s="202" t="str">
        <x:v>◉</x:v>
      </x:c>
      <x:c r="F35" s="202" t="str">
        <x:v>◉</x:v>
      </x:c>
      <x:c r="G35" s="202" t="str">
        <x:v>◉</x:v>
      </x:c>
      <x:c r="H35" s="202" t="str">
        <x:v>◉</x:v>
      </x:c>
      <x:c r="I35" s="202" t="str">
        <x:v>◉</x:v>
      </x:c>
      <x:c r="J35" s="202" t="str">
        <x:v>◉</x:v>
      </x:c>
      <x:c r="K35" s="202" t="str">
        <x:v>◉</x:v>
      </x:c>
      <x:c r="L35" s="202" t="str">
        <x:v>◉</x:v>
      </x:c>
      <x:c r="M35" s="202" t="str">
        <x:v>◉</x:v>
      </x:c>
      <x:c r="N35" s="202" t="str">
        <x:v>◉</x:v>
      </x:c>
      <x:c r="O35" s="202" t="str">
        <x:v>◉</x:v>
      </x:c>
      <x:c r="P35" s="202" t="str">
        <x:v>◉</x:v>
      </x:c>
      <x:c r="Q35" s="202" t="str">
        <x:v>◉</x:v>
      </x:c>
      <x:c r="R35" s="202" t="str">
        <x:v>◉</x:v>
      </x:c>
      <x:c r="S35" s="202" t="str">
        <x:v>◉</x:v>
      </x:c>
      <x:c r="T35" s="202" t="str">
        <x:v>◉</x:v>
      </x:c>
      <x:c r="U35" s="202" t="str">
        <x:v>◉</x:v>
      </x:c>
      <x:c r="V35" s="202" t="str">
        <x:v>◉</x:v>
      </x:c>
      <x:c r="W35" s="202" t="str">
        <x:v>◉</x:v>
      </x:c>
      <x:c r="X35" s="202" t="str">
        <x:v>◉</x:v>
      </x:c>
      <x:c r="Y35" s="202" t="str">
        <x:v>◉</x:v>
      </x:c>
      <x:c r="Z35" s="202" t="str">
        <x:v>◉</x:v>
      </x:c>
      <x:c r="AA35" s="202" t="str">
        <x:v>◉</x:v>
      </x:c>
      <x:c r="AB35" s="202" t="str">
        <x:v>◉</x:v>
      </x:c>
      <x:c r="AC35" s="202" t="str">
        <x:v>◉</x:v>
      </x:c>
      <x:c r="AD35" s="202" t="str">
        <x:v>◉</x:v>
      </x:c>
      <x:c r="AE35" s="202" t="str">
        <x:v>◉</x:v>
      </x:c>
      <x:c r="AF35" s="202" t="str">
        <x:v>◉</x:v>
      </x:c>
      <x:c r="AG35" s="202" t="str">
        <x:v>◉</x:v>
      </x:c>
      <x:c r="AH35" s="202" t="str">
        <x:v>◉</x:v>
      </x:c>
      <x:c r="AI35" s="202" t="str">
        <x:v>◉</x:v>
      </x:c>
      <x:c r="AJ35" s="202" t="str">
        <x:v>◉</x:v>
      </x:c>
      <x:c r="AK35" s="202" t="str">
        <x:v>◉</x:v>
      </x:c>
      <x:c r="AL35" s="202" t="str">
        <x:v>◉</x:v>
      </x:c>
      <x:c r="AM35" s="202" t="str">
        <x:v>◉</x:v>
      </x:c>
      <x:c r="AN35" s="202" t="str">
        <x:v>◉</x:v>
      </x:c>
      <x:c r="AO35" s="202" t="str">
        <x:v>◉</x:v>
      </x:c>
      <x:c r="AP35" s="202" t="str">
        <x:v>◉</x:v>
      </x:c>
      <x:c r="AQ35" s="202" t="str">
        <x:v>◉</x:v>
      </x:c>
      <x:c r="AR35" s="202" t="str">
        <x:v>◉</x:v>
      </x:c>
      <x:c r="AS35" s="202" t="str">
        <x:v>◉</x:v>
      </x:c>
      <x:c r="AT35" s="202" t="str">
        <x:v>◉</x:v>
      </x:c>
      <x:c r="AU35" s="130"/>
      <x:c r="AV35" s="130"/>
      <x:c r="AW35" s="130"/>
      <x:c r="AX35" s="130"/>
      <x:c r="AY35" s="130"/>
      <x:c r="AZ35" s="130"/>
      <x:c r="BA35" s="130"/>
      <x:c r="BB35" s="130"/>
      <x:c r="BC35" s="130"/>
      <x:c r="BD35" s="109"/>
      <x:c r="BE35" s="354" t="str">
        <x:v>END 行显示完赛秒数；其他行显示落后格数。</x:v>
      </x:c>
      <x:c r="BF35" s="355"/>
      <x:c r="BG35" s="355"/>
      <x:c r="BH35" s="355"/>
      <x:c r="BI35" s="355"/>
      <x:c r="BJ35" s="355"/>
      <x:c r="BK35" s="355"/>
      <x:c r="BL35" s="355"/>
      <x:c r="BM35" s="355"/>
      <x:c r="BN35" s="355"/>
      <x:c r="BO35" s="355"/>
      <x:c r="BP35" s="355"/>
      <x:c r="BQ35" s="355"/>
      <x:c r="BR35" s="355"/>
      <x:c r="BS35" s="356"/>
    </x:row>
    <x:row r="36" ht="13.5" customHeight="1">
      <x:c r="A36" s="109"/>
      <x:c r="B36" s="109"/>
      <x:c r="C36" s="109"/>
      <x:c r="D36" s="109"/>
      <x:c r="E36" s="109"/>
      <x:c r="F36" s="109"/>
      <x:c r="G36" s="109"/>
      <x:c r="H36" s="109"/>
      <x:c r="I36" s="109"/>
      <x:c r="J36" s="109"/>
      <x:c r="K36" s="109"/>
      <x:c r="L36" s="109"/>
      <x:c r="M36" s="109"/>
      <x:c r="N36" s="109"/>
      <x:c r="O36" s="109"/>
      <x:c r="P36" s="109"/>
      <x:c r="Q36" s="109"/>
      <x:c r="R36" s="109"/>
      <x:c r="S36" s="109"/>
      <x:c r="T36" s="109"/>
      <x:c r="U36" s="109"/>
      <x:c r="V36" s="109"/>
      <x:c r="W36" s="109"/>
      <x:c r="X36" s="109"/>
      <x:c r="Y36" s="109"/>
      <x:c r="Z36" s="109"/>
      <x:c r="AA36" s="109"/>
      <x:c r="AB36" s="109"/>
      <x:c r="AC36" s="109"/>
      <x:c r="AD36" s="109"/>
      <x:c r="AE36" s="109"/>
      <x:c r="AF36" s="109"/>
      <x:c r="AG36" s="109"/>
      <x:c r="AH36" s="109"/>
      <x:c r="AI36" s="109"/>
      <x:c r="AJ36" s="109"/>
      <x:c r="AK36" s="109"/>
      <x:c r="AL36" s="109"/>
      <x:c r="AM36" s="109"/>
      <x:c r="AN36" s="109"/>
      <x:c r="AO36" s="109"/>
      <x:c r="AP36" s="109"/>
      <x:c r="AQ36" s="109"/>
      <x:c r="AR36" s="109"/>
      <x:c r="AS36" s="109"/>
      <x:c r="AT36" s="109"/>
      <x:c r="AU36" s="109"/>
      <x:c r="AV36" s="109"/>
      <x:c r="AW36" s="109"/>
      <x:c r="AX36" s="109"/>
      <x:c r="AY36" s="109"/>
      <x:c r="AZ36" s="109"/>
      <x:c r="BA36" s="109"/>
      <x:c r="BB36" s="109"/>
      <x:c r="BC36" s="109"/>
      <x:c r="BD36" s="109"/>
      <x:c r="BE36" s="109"/>
      <x:c r="BF36" s="109"/>
      <x:c r="BG36" s="109"/>
      <x:c r="BH36" s="109"/>
      <x:c r="BI36" s="109"/>
      <x:c r="BJ36" s="109"/>
      <x:c r="BK36" s="109"/>
      <x:c r="BL36" s="109"/>
      <x:c r="BM36" s="109"/>
      <x:c r="BN36" s="109"/>
      <x:c r="BO36" s="109"/>
      <x:c r="BP36" s="109"/>
      <x:c r="BQ36" s="109"/>
      <x:c r="BR36" s="109"/>
      <x:c r="BS36" s="109"/>
    </x:row>
    <x:row r="37" ht="13.5" customHeight="1">
      <x:c r="A37" s="370" t="str">
        <x:v>134</x:v>
      </x:c>
      <x:c r="B37" s="370"/>
      <x:c r="C37" s="370"/>
      <x:c r="D37" s="370"/>
      <x:c r="E37" s="370"/>
      <x:c r="F37" s="370"/>
      <x:c r="G37" s="370"/>
      <x:c r="H37" s="370"/>
      <x:c r="I37" s="370"/>
      <x:c r="J37" s="370"/>
      <x:c r="K37" s="370"/>
      <x:c r="L37" s="370"/>
      <x:c r="M37" s="370"/>
      <x:c r="N37" s="370"/>
      <x:c r="O37" s="370" t="str">
        <x:v>6</x:v>
      </x:c>
      <x:c r="P37" s="370"/>
      <x:c r="Q37" s="370"/>
      <x:c r="R37" s="370"/>
      <x:c r="S37" s="370"/>
      <x:c r="T37" s="370"/>
      <x:c r="U37" s="370"/>
      <x:c r="V37" s="370"/>
      <x:c r="W37" s="370"/>
      <x:c r="X37" s="370"/>
      <x:c r="Y37" s="370"/>
      <x:c r="Z37" s="370"/>
      <x:c r="AA37" s="370"/>
      <x:c r="AB37" s="370"/>
      <x:c r="AC37" s="370" t="str">
        <x:v>1,446</x:v>
      </x:c>
      <x:c r="AD37" s="370"/>
      <x:c r="AE37" s="370"/>
      <x:c r="AF37" s="370"/>
      <x:c r="AG37" s="370"/>
      <x:c r="AH37" s="370"/>
      <x:c r="AI37" s="370"/>
      <x:c r="AJ37" s="370"/>
      <x:c r="AK37" s="370"/>
      <x:c r="AL37" s="370"/>
      <x:c r="AM37" s="370"/>
      <x:c r="AN37" s="370"/>
      <x:c r="AO37" s="370"/>
      <x:c r="AP37" s="370"/>
      <x:c r="AQ37" s="370" t="str">
        <x:v>0</x:v>
      </x:c>
      <x:c r="AR37" s="370"/>
      <x:c r="AS37" s="370"/>
      <x:c r="AT37" s="370"/>
      <x:c r="AU37" s="370"/>
      <x:c r="AV37" s="370"/>
      <x:c r="AW37" s="370"/>
      <x:c r="AX37" s="370"/>
      <x:c r="AY37" s="370"/>
      <x:c r="AZ37" s="370"/>
      <x:c r="BA37" s="370"/>
      <x:c r="BB37" s="370"/>
      <x:c r="BC37" s="370"/>
      <x:c r="BD37" s="109"/>
      <x:c r="BE37" s="364" t="str">
        <x:v>PLAY</x:v>
      </x:c>
      <x:c r="BF37" s="364"/>
      <x:c r="BG37" s="364"/>
      <x:c r="BH37" s="364"/>
      <x:c r="BI37" s="364"/>
      <x:c r="BJ37" s="364"/>
      <x:c r="BK37" s="364"/>
      <x:c r="BL37" s="364" t="str">
        <x:v>PAUSE</x:v>
      </x:c>
      <x:c r="BM37" s="364"/>
      <x:c r="BN37" s="364"/>
      <x:c r="BO37" s="364"/>
      <x:c r="BP37" s="364"/>
      <x:c r="BQ37" s="364"/>
      <x:c r="BR37" s="364"/>
      <x:c r="BS37" s="364"/>
    </x:row>
    <x:row r="38" ht="13.5" customHeight="1">
      <x:c r="A38" s="370"/>
      <x:c r="B38" s="370"/>
      <x:c r="C38" s="370"/>
      <x:c r="D38" s="370"/>
      <x:c r="E38" s="370"/>
      <x:c r="F38" s="370"/>
      <x:c r="G38" s="370"/>
      <x:c r="H38" s="370"/>
      <x:c r="I38" s="370"/>
      <x:c r="J38" s="370"/>
      <x:c r="K38" s="370"/>
      <x:c r="L38" s="370"/>
      <x:c r="M38" s="370"/>
      <x:c r="N38" s="370"/>
      <x:c r="O38" s="370"/>
      <x:c r="P38" s="370"/>
      <x:c r="Q38" s="370"/>
      <x:c r="R38" s="370"/>
      <x:c r="S38" s="370"/>
      <x:c r="T38" s="370"/>
      <x:c r="U38" s="370"/>
      <x:c r="V38" s="370"/>
      <x:c r="W38" s="370"/>
      <x:c r="X38" s="370"/>
      <x:c r="Y38" s="370"/>
      <x:c r="Z38" s="370"/>
      <x:c r="AA38" s="370"/>
      <x:c r="AB38" s="370"/>
      <x:c r="AC38" s="370"/>
      <x:c r="AD38" s="370"/>
      <x:c r="AE38" s="370"/>
      <x:c r="AF38" s="370"/>
      <x:c r="AG38" s="370"/>
      <x:c r="AH38" s="370"/>
      <x:c r="AI38" s="370"/>
      <x:c r="AJ38" s="370"/>
      <x:c r="AK38" s="370"/>
      <x:c r="AL38" s="370"/>
      <x:c r="AM38" s="370"/>
      <x:c r="AN38" s="370"/>
      <x:c r="AO38" s="370"/>
      <x:c r="AP38" s="370"/>
      <x:c r="AQ38" s="370"/>
      <x:c r="AR38" s="370"/>
      <x:c r="AS38" s="370"/>
      <x:c r="AT38" s="370"/>
      <x:c r="AU38" s="370"/>
      <x:c r="AV38" s="370"/>
      <x:c r="AW38" s="370"/>
      <x:c r="AX38" s="370"/>
      <x:c r="AY38" s="370"/>
      <x:c r="AZ38" s="370"/>
      <x:c r="BA38" s="370"/>
      <x:c r="BB38" s="370"/>
      <x:c r="BC38" s="370"/>
      <x:c r="BD38" s="109"/>
      <x:c r="BE38" s="364"/>
      <x:c r="BF38" s="364"/>
      <x:c r="BG38" s="364"/>
      <x:c r="BH38" s="364"/>
      <x:c r="BI38" s="364"/>
      <x:c r="BJ38" s="364"/>
      <x:c r="BK38" s="364"/>
      <x:c r="BL38" s="364"/>
      <x:c r="BM38" s="364"/>
      <x:c r="BN38" s="364"/>
      <x:c r="BO38" s="364"/>
      <x:c r="BP38" s="364"/>
      <x:c r="BQ38" s="364"/>
      <x:c r="BR38" s="364"/>
      <x:c r="BS38" s="364"/>
    </x:row>
    <x:row r="39" ht="13.5" customHeight="1">
      <x:c r="A39" s="372" t="str">
        <x:v>个原生赛道坐标</x:v>
      </x:c>
      <x:c r="B39" s="372"/>
      <x:c r="C39" s="372"/>
      <x:c r="D39" s="372"/>
      <x:c r="E39" s="372"/>
      <x:c r="F39" s="372"/>
      <x:c r="G39" s="372"/>
      <x:c r="H39" s="372"/>
      <x:c r="I39" s="372"/>
      <x:c r="J39" s="372"/>
      <x:c r="K39" s="372"/>
      <x:c r="L39" s="372"/>
      <x:c r="M39" s="372"/>
      <x:c r="N39" s="372"/>
      <x:c r="O39" s="372" t="str">
        <x:v>辆公式驱动赛车</x:v>
      </x:c>
      <x:c r="P39" s="372"/>
      <x:c r="Q39" s="372"/>
      <x:c r="R39" s="372"/>
      <x:c r="S39" s="372"/>
      <x:c r="T39" s="372"/>
      <x:c r="U39" s="372"/>
      <x:c r="V39" s="372"/>
      <x:c r="W39" s="372"/>
      <x:c r="X39" s="372"/>
      <x:c r="Y39" s="372"/>
      <x:c r="Z39" s="372"/>
      <x:c r="AA39" s="372"/>
      <x:c r="AB39" s="372"/>
      <x:c r="AC39" s="372" t="str">
        <x:v>条逐帧比赛记录</x:v>
      </x:c>
      <x:c r="AD39" s="372"/>
      <x:c r="AE39" s="372"/>
      <x:c r="AF39" s="372"/>
      <x:c r="AG39" s="372"/>
      <x:c r="AH39" s="372"/>
      <x:c r="AI39" s="372"/>
      <x:c r="AJ39" s="372"/>
      <x:c r="AK39" s="372"/>
      <x:c r="AL39" s="372"/>
      <x:c r="AM39" s="372"/>
      <x:c r="AN39" s="372"/>
      <x:c r="AO39" s="372"/>
      <x:c r="AP39" s="372"/>
      <x:c r="AQ39" s="372" t="str">
        <x:v>张嵌入图片</x:v>
      </x:c>
      <x:c r="AR39" s="372"/>
      <x:c r="AS39" s="372"/>
      <x:c r="AT39" s="372"/>
      <x:c r="AU39" s="372"/>
      <x:c r="AV39" s="372"/>
      <x:c r="AW39" s="372"/>
      <x:c r="AX39" s="372"/>
      <x:c r="AY39" s="372"/>
      <x:c r="AZ39" s="372"/>
      <x:c r="BA39" s="372"/>
      <x:c r="BB39" s="372"/>
      <x:c r="BC39" s="372"/>
      <x:c r="BD39" s="109"/>
      <x:c r="BE39" s="109"/>
      <x:c r="BF39" s="109"/>
      <x:c r="BG39" s="109"/>
      <x:c r="BH39" s="109"/>
      <x:c r="BI39" s="109"/>
      <x:c r="BJ39" s="109"/>
      <x:c r="BK39" s="109"/>
      <x:c r="BL39" s="109"/>
      <x:c r="BM39" s="109"/>
      <x:c r="BN39" s="109"/>
      <x:c r="BO39" s="109"/>
      <x:c r="BP39" s="109"/>
      <x:c r="BQ39" s="109"/>
      <x:c r="BR39" s="109"/>
      <x:c r="BS39" s="109"/>
    </x:row>
    <x:row r="40" ht="13.5" customHeight="1">
      <x:c r="A40" s="372"/>
      <x:c r="B40" s="372"/>
      <x:c r="C40" s="372"/>
      <x:c r="D40" s="372"/>
      <x:c r="E40" s="372"/>
      <x:c r="F40" s="372"/>
      <x:c r="G40" s="372"/>
      <x:c r="H40" s="372"/>
      <x:c r="I40" s="372"/>
      <x:c r="J40" s="372"/>
      <x:c r="K40" s="372"/>
      <x:c r="L40" s="372"/>
      <x:c r="M40" s="372"/>
      <x:c r="N40" s="372"/>
      <x:c r="O40" s="372"/>
      <x:c r="P40" s="372"/>
      <x:c r="Q40" s="372"/>
      <x:c r="R40" s="372"/>
      <x:c r="S40" s="372"/>
      <x:c r="T40" s="372"/>
      <x:c r="U40" s="372"/>
      <x:c r="V40" s="372"/>
      <x:c r="W40" s="372"/>
      <x:c r="X40" s="372"/>
      <x:c r="Y40" s="372"/>
      <x:c r="Z40" s="372"/>
      <x:c r="AA40" s="372"/>
      <x:c r="AB40" s="372"/>
      <x:c r="AC40" s="372"/>
      <x:c r="AD40" s="372"/>
      <x:c r="AE40" s="372"/>
      <x:c r="AF40" s="372"/>
      <x:c r="AG40" s="372"/>
      <x:c r="AH40" s="372"/>
      <x:c r="AI40" s="372"/>
      <x:c r="AJ40" s="372"/>
      <x:c r="AK40" s="372"/>
      <x:c r="AL40" s="372"/>
      <x:c r="AM40" s="372"/>
      <x:c r="AN40" s="372"/>
      <x:c r="AO40" s="372"/>
      <x:c r="AP40" s="372"/>
      <x:c r="AQ40" s="372"/>
      <x:c r="AR40" s="372"/>
      <x:c r="AS40" s="372"/>
      <x:c r="AT40" s="372"/>
      <x:c r="AU40" s="372"/>
      <x:c r="AV40" s="372"/>
      <x:c r="AW40" s="372"/>
      <x:c r="AX40" s="372"/>
      <x:c r="AY40" s="372"/>
      <x:c r="AZ40" s="372"/>
      <x:c r="BA40" s="372"/>
      <x:c r="BB40" s="372"/>
      <x:c r="BC40" s="372"/>
      <x:c r="BD40" s="109"/>
      <x:c r="BE40" s="364" t="str">
        <x:v>RESET</x:v>
      </x:c>
      <x:c r="BF40" s="364"/>
      <x:c r="BG40" s="364"/>
      <x:c r="BH40" s="364"/>
      <x:c r="BI40" s="364"/>
      <x:c r="BJ40" s="364"/>
      <x:c r="BK40" s="364"/>
      <x:c r="BL40" s="364" t="str">
        <x:v>STEP +1</x:v>
      </x:c>
      <x:c r="BM40" s="364"/>
      <x:c r="BN40" s="364"/>
      <x:c r="BO40" s="364"/>
      <x:c r="BP40" s="364"/>
      <x:c r="BQ40" s="364"/>
      <x:c r="BR40" s="364"/>
      <x:c r="BS40" s="364"/>
    </x:row>
    <x:row r="41" ht="13.5" customHeight="1">
      <x:c r="A41" s="109"/>
      <x:c r="B41" s="109"/>
      <x:c r="C41" s="109"/>
      <x:c r="D41" s="109"/>
      <x:c r="E41" s="109"/>
      <x:c r="F41" s="109"/>
      <x:c r="G41" s="109"/>
      <x:c r="H41" s="109"/>
      <x:c r="I41" s="109"/>
      <x:c r="J41" s="109"/>
      <x:c r="K41" s="109"/>
      <x:c r="L41" s="109"/>
      <x:c r="M41" s="109"/>
      <x:c r="N41" s="109"/>
      <x:c r="O41" s="109"/>
      <x:c r="P41" s="109"/>
      <x:c r="Q41" s="109"/>
      <x:c r="R41" s="109"/>
      <x:c r="S41" s="109"/>
      <x:c r="T41" s="109"/>
      <x:c r="U41" s="109"/>
      <x:c r="V41" s="109"/>
      <x:c r="W41" s="109"/>
      <x:c r="X41" s="109"/>
      <x:c r="Y41" s="109"/>
      <x:c r="Z41" s="109"/>
      <x:c r="AA41" s="109"/>
      <x:c r="AB41" s="109"/>
      <x:c r="AC41" s="109"/>
      <x:c r="AD41" s="109"/>
      <x:c r="AE41" s="109"/>
      <x:c r="AF41" s="109"/>
      <x:c r="AG41" s="109"/>
      <x:c r="AH41" s="109"/>
      <x:c r="AI41" s="109"/>
      <x:c r="AJ41" s="109"/>
      <x:c r="AK41" s="109"/>
      <x:c r="AL41" s="109"/>
      <x:c r="AM41" s="109"/>
      <x:c r="AN41" s="109"/>
      <x:c r="AO41" s="109"/>
      <x:c r="AP41" s="109"/>
      <x:c r="AQ41" s="109"/>
      <x:c r="AR41" s="109"/>
      <x:c r="AS41" s="109"/>
      <x:c r="AT41" s="109"/>
      <x:c r="AU41" s="109"/>
      <x:c r="AV41" s="109"/>
      <x:c r="AW41" s="109"/>
      <x:c r="AX41" s="109"/>
      <x:c r="AY41" s="109"/>
      <x:c r="AZ41" s="109"/>
      <x:c r="BA41" s="109"/>
      <x:c r="BB41" s="109"/>
      <x:c r="BC41" s="109"/>
      <x:c r="BD41" s="109"/>
      <x:c r="BE41" s="364"/>
      <x:c r="BF41" s="364"/>
      <x:c r="BG41" s="364"/>
      <x:c r="BH41" s="364"/>
      <x:c r="BI41" s="364"/>
      <x:c r="BJ41" s="364"/>
      <x:c r="BK41" s="364"/>
      <x:c r="BL41" s="364"/>
      <x:c r="BM41" s="364"/>
      <x:c r="BN41" s="364"/>
      <x:c r="BO41" s="364"/>
      <x:c r="BP41" s="364"/>
      <x:c r="BQ41" s="364"/>
      <x:c r="BR41" s="364"/>
      <x:c r="BS41" s="364"/>
    </x:row>
    <x:row r="42" ht="13.5" customHeight="1">
      <x:c r="A42" s="374" t="str">
        <x:v>修改右侧 BL9 逐帧回放  ·  修改 Drivers 自定义车手  ·  RaceData 查看每一帧如何计算</x:v>
      </x:c>
      <x:c r="B42" s="374"/>
      <x:c r="C42" s="374"/>
      <x:c r="D42" s="374"/>
      <x:c r="E42" s="374"/>
      <x:c r="F42" s="374"/>
      <x:c r="G42" s="374"/>
      <x:c r="H42" s="374"/>
      <x:c r="I42" s="374"/>
      <x:c r="J42" s="374"/>
      <x:c r="K42" s="374"/>
      <x:c r="L42" s="374"/>
      <x:c r="M42" s="374"/>
      <x:c r="N42" s="374"/>
      <x:c r="O42" s="374"/>
      <x:c r="P42" s="374"/>
      <x:c r="Q42" s="374"/>
      <x:c r="R42" s="374"/>
      <x:c r="S42" s="374"/>
      <x:c r="T42" s="374"/>
      <x:c r="U42" s="374"/>
      <x:c r="V42" s="374"/>
      <x:c r="W42" s="374"/>
      <x:c r="X42" s="374"/>
      <x:c r="Y42" s="374"/>
      <x:c r="Z42" s="374"/>
      <x:c r="AA42" s="374"/>
      <x:c r="AB42" s="374"/>
      <x:c r="AC42" s="374"/>
      <x:c r="AD42" s="374"/>
      <x:c r="AE42" s="374"/>
      <x:c r="AF42" s="374"/>
      <x:c r="AG42" s="374"/>
      <x:c r="AH42" s="374"/>
      <x:c r="AI42" s="374"/>
      <x:c r="AJ42" s="374"/>
      <x:c r="AK42" s="374"/>
      <x:c r="AL42" s="374"/>
      <x:c r="AM42" s="374"/>
      <x:c r="AN42" s="374"/>
      <x:c r="AO42" s="374"/>
      <x:c r="AP42" s="374"/>
      <x:c r="AQ42" s="374"/>
      <x:c r="AR42" s="374"/>
      <x:c r="AS42" s="374"/>
      <x:c r="AT42" s="374"/>
      <x:c r="AU42" s="374"/>
      <x:c r="AV42" s="374"/>
      <x:c r="AW42" s="374"/>
      <x:c r="AX42" s="374"/>
      <x:c r="AY42" s="374"/>
      <x:c r="AZ42" s="374"/>
      <x:c r="BA42" s="374"/>
      <x:c r="BB42" s="374"/>
      <x:c r="BC42" s="374"/>
      <x:c r="BD42" s="109"/>
      <x:c r="BE42" s="109"/>
      <x:c r="BF42" s="109"/>
      <x:c r="BG42" s="109"/>
      <x:c r="BH42" s="109"/>
      <x:c r="BI42" s="109"/>
      <x:c r="BJ42" s="109"/>
      <x:c r="BK42" s="109"/>
      <x:c r="BL42" s="109"/>
      <x:c r="BM42" s="109"/>
      <x:c r="BN42" s="109"/>
      <x:c r="BO42" s="109"/>
      <x:c r="BP42" s="109"/>
      <x:c r="BQ42" s="109"/>
      <x:c r="BR42" s="109"/>
      <x:c r="BS42" s="109"/>
    </x:row>
    <x:row r="43" ht="13.5" customHeight="1">
      <x:c r="A43" s="109"/>
      <x:c r="B43" s="109"/>
      <x:c r="C43" s="109"/>
      <x:c r="D43" s="109"/>
      <x:c r="E43" s="109"/>
      <x:c r="F43" s="109"/>
      <x:c r="G43" s="109"/>
      <x:c r="H43" s="109"/>
      <x:c r="I43" s="109"/>
      <x:c r="J43" s="109"/>
      <x:c r="K43" s="109"/>
      <x:c r="L43" s="109"/>
      <x:c r="M43" s="109"/>
      <x:c r="N43" s="109"/>
      <x:c r="O43" s="109"/>
      <x:c r="P43" s="109"/>
      <x:c r="Q43" s="109"/>
      <x:c r="R43" s="109"/>
      <x:c r="S43" s="109"/>
      <x:c r="T43" s="109"/>
      <x:c r="U43" s="109"/>
      <x:c r="V43" s="109"/>
      <x:c r="W43" s="109"/>
      <x:c r="X43" s="109"/>
      <x:c r="Y43" s="109"/>
      <x:c r="Z43" s="109"/>
      <x:c r="AA43" s="109"/>
      <x:c r="AB43" s="109"/>
      <x:c r="AC43" s="109"/>
      <x:c r="AD43" s="109"/>
      <x:c r="AE43" s="109"/>
      <x:c r="AF43" s="109"/>
      <x:c r="AG43" s="109"/>
      <x:c r="AH43" s="109"/>
      <x:c r="AI43" s="109"/>
      <x:c r="AJ43" s="109"/>
      <x:c r="AK43" s="109"/>
      <x:c r="AL43" s="109"/>
      <x:c r="AM43" s="109"/>
      <x:c r="AN43" s="109"/>
      <x:c r="AO43" s="109"/>
      <x:c r="AP43" s="109"/>
      <x:c r="AQ43" s="109"/>
      <x:c r="AR43" s="109"/>
      <x:c r="AS43" s="109"/>
      <x:c r="AT43" s="109"/>
      <x:c r="AU43" s="109"/>
      <x:c r="AV43" s="109"/>
      <x:c r="AW43" s="109"/>
      <x:c r="AX43" s="109"/>
      <x:c r="AY43" s="109"/>
      <x:c r="AZ43" s="109"/>
      <x:c r="BA43" s="109"/>
      <x:c r="BB43" s="109"/>
      <x:c r="BC43" s="109"/>
      <x:c r="BD43" s="109"/>
      <x:c r="BE43" s="367" t="str">
        <x:v>上方按钮为宏安装位置。
导入 VBA 并运行 SetupRace 后才可点击。</x:v>
      </x:c>
      <x:c r="BF43" s="367"/>
      <x:c r="BG43" s="367"/>
      <x:c r="BH43" s="367"/>
      <x:c r="BI43" s="367"/>
      <x:c r="BJ43" s="367"/>
      <x:c r="BK43" s="367"/>
      <x:c r="BL43" s="367"/>
      <x:c r="BM43" s="367"/>
      <x:c r="BN43" s="367"/>
      <x:c r="BO43" s="367"/>
      <x:c r="BP43" s="367"/>
      <x:c r="BQ43" s="367"/>
      <x:c r="BR43" s="367"/>
      <x:c r="BS43" s="367"/>
    </x:row>
    <x:row r="44" ht="13.5" customHeight="1">
      <x:c r="A44" s="109"/>
      <x:c r="B44" s="376" t="str">
        <x:f>"●  0"&amp;Drivers!A8&amp;" "&amp;Drivers!B8</x:f>
        <x:v>●  01 赤焰</x:v>
      </x:c>
      <x:c r="C44" s="376"/>
      <x:c r="D44" s="376"/>
      <x:c r="E44" s="376"/>
      <x:c r="F44" s="376"/>
      <x:c r="G44" s="376"/>
      <x:c r="H44" s="376"/>
      <x:c r="I44" s="376"/>
      <x:c r="J44" s="109"/>
      <x:c r="K44" s="378" t="str">
        <x:f>"●  0"&amp;Drivers!A9&amp;" "&amp;Drivers!B9</x:f>
        <x:v>●  02 蓝电</x:v>
      </x:c>
      <x:c r="L44" s="378"/>
      <x:c r="M44" s="378"/>
      <x:c r="N44" s="378"/>
      <x:c r="O44" s="378"/>
      <x:c r="P44" s="378"/>
      <x:c r="Q44" s="378"/>
      <x:c r="R44" s="378"/>
      <x:c r="S44" s="109"/>
      <x:c r="T44" s="380" t="str">
        <x:f>"●  0"&amp;Drivers!A10&amp;" "&amp;Drivers!B10</x:f>
        <x:v>●  03 金翼</x:v>
      </x:c>
      <x:c r="U44" s="380"/>
      <x:c r="V44" s="380"/>
      <x:c r="W44" s="380"/>
      <x:c r="X44" s="380"/>
      <x:c r="Y44" s="380"/>
      <x:c r="Z44" s="380"/>
      <x:c r="AA44" s="380"/>
      <x:c r="AB44" s="109"/>
      <x:c r="AC44" s="382" t="str">
        <x:f>"●  0"&amp;Drivers!A11&amp;" "&amp;Drivers!B11</x:f>
        <x:v>●  04 紫影</x:v>
      </x:c>
      <x:c r="AD44" s="382"/>
      <x:c r="AE44" s="382"/>
      <x:c r="AF44" s="382"/>
      <x:c r="AG44" s="382"/>
      <x:c r="AH44" s="382"/>
      <x:c r="AI44" s="382"/>
      <x:c r="AJ44" s="382"/>
      <x:c r="AK44" s="109"/>
      <x:c r="AL44" s="384" t="str">
        <x:f>"●  0"&amp;Drivers!A12&amp;" "&amp;Drivers!B12</x:f>
        <x:v>●  05 青锋</x:v>
      </x:c>
      <x:c r="AM44" s="384"/>
      <x:c r="AN44" s="384"/>
      <x:c r="AO44" s="384"/>
      <x:c r="AP44" s="384"/>
      <x:c r="AQ44" s="384"/>
      <x:c r="AR44" s="384"/>
      <x:c r="AS44" s="384"/>
      <x:c r="AT44" s="109"/>
      <x:c r="AU44" s="386" t="str">
        <x:f>"●  0"&amp;Drivers!A13&amp;" "&amp;Drivers!B13</x:f>
        <x:v>●  06 玫速</x:v>
      </x:c>
      <x:c r="AV44" s="386"/>
      <x:c r="AW44" s="386"/>
      <x:c r="AX44" s="386"/>
      <x:c r="AY44" s="386"/>
      <x:c r="AZ44" s="386"/>
      <x:c r="BA44" s="386"/>
      <x:c r="BB44" s="386"/>
      <x:c r="BC44" s="109"/>
      <x:c r="BD44" s="109"/>
      <x:c r="BE44" s="367"/>
      <x:c r="BF44" s="367"/>
      <x:c r="BG44" s="367"/>
      <x:c r="BH44" s="367"/>
      <x:c r="BI44" s="367"/>
      <x:c r="BJ44" s="367"/>
      <x:c r="BK44" s="367"/>
      <x:c r="BL44" s="367"/>
      <x:c r="BM44" s="367"/>
      <x:c r="BN44" s="367"/>
      <x:c r="BO44" s="367"/>
      <x:c r="BP44" s="367"/>
      <x:c r="BQ44" s="367"/>
      <x:c r="BR44" s="367"/>
      <x:c r="BS44" s="367"/>
    </x:row>
    <x:row r="45" ht="13.5" customHeight="1">
      <x:c r="A45" s="109"/>
      <x:c r="B45" s="109"/>
      <x:c r="C45" s="109"/>
      <x:c r="D45" s="109"/>
      <x:c r="E45" s="109"/>
      <x:c r="F45" s="109"/>
      <x:c r="G45" s="109"/>
      <x:c r="H45" s="109"/>
      <x:c r="I45" s="109"/>
      <x:c r="J45" s="109"/>
      <x:c r="K45" s="109"/>
      <x:c r="L45" s="109"/>
      <x:c r="M45" s="109"/>
      <x:c r="N45" s="109"/>
      <x:c r="O45" s="109"/>
      <x:c r="P45" s="109"/>
      <x:c r="Q45" s="109"/>
      <x:c r="R45" s="109"/>
      <x:c r="S45" s="109"/>
      <x:c r="T45" s="109"/>
      <x:c r="U45" s="109"/>
      <x:c r="V45" s="109"/>
      <x:c r="W45" s="109"/>
      <x:c r="X45" s="109"/>
      <x:c r="Y45" s="109"/>
      <x:c r="Z45" s="109"/>
      <x:c r="AA45" s="109"/>
      <x:c r="AB45" s="109"/>
      <x:c r="AC45" s="109"/>
      <x:c r="AD45" s="109"/>
      <x:c r="AE45" s="109"/>
      <x:c r="AF45" s="109"/>
      <x:c r="AG45" s="109"/>
      <x:c r="AH45" s="109"/>
      <x:c r="AI45" s="109"/>
      <x:c r="AJ45" s="109"/>
      <x:c r="AK45" s="109"/>
      <x:c r="AL45" s="109"/>
      <x:c r="AM45" s="109"/>
      <x:c r="AN45" s="109"/>
      <x:c r="AO45" s="109"/>
      <x:c r="AP45" s="109"/>
      <x:c r="AQ45" s="109"/>
      <x:c r="AR45" s="109"/>
      <x:c r="AS45" s="109"/>
      <x:c r="AT45" s="109"/>
      <x:c r="AU45" s="109"/>
      <x:c r="AV45" s="109"/>
      <x:c r="AW45" s="109"/>
      <x:c r="AX45" s="109"/>
      <x:c r="AY45" s="109"/>
      <x:c r="AZ45" s="109"/>
      <x:c r="BA45" s="109"/>
      <x:c r="BB45" s="109"/>
      <x:c r="BC45" s="109"/>
      <x:c r="BD45" s="109"/>
      <x:c r="BE45" s="109"/>
      <x:c r="BF45" s="109"/>
      <x:c r="BG45" s="109"/>
      <x:c r="BH45" s="109"/>
      <x:c r="BI45" s="109"/>
      <x:c r="BJ45" s="109"/>
      <x:c r="BK45" s="109"/>
      <x:c r="BL45" s="109"/>
      <x:c r="BM45" s="109"/>
      <x:c r="BN45" s="109"/>
      <x:c r="BO45" s="109"/>
      <x:c r="BP45" s="109"/>
      <x:c r="BQ45" s="109"/>
      <x:c r="BR45" s="109"/>
      <x:c r="BS45" s="109"/>
    </x:row>
    <x:row r="46" ht="13.5" customHeight="1">
      <x:c r="A46" s="109"/>
      <x:c r="B46" s="109"/>
      <x:c r="C46" s="109"/>
      <x:c r="D46" s="109"/>
      <x:c r="E46" s="109"/>
      <x:c r="F46" s="109"/>
      <x:c r="G46" s="109"/>
      <x:c r="H46" s="109"/>
      <x:c r="I46" s="109"/>
      <x:c r="J46" s="109"/>
      <x:c r="K46" s="109"/>
      <x:c r="L46" s="109"/>
      <x:c r="M46" s="109"/>
      <x:c r="N46" s="109"/>
      <x:c r="O46" s="109"/>
      <x:c r="P46" s="109"/>
      <x:c r="Q46" s="109"/>
      <x:c r="R46" s="109"/>
      <x:c r="S46" s="109"/>
      <x:c r="T46" s="109"/>
      <x:c r="U46" s="109"/>
      <x:c r="V46" s="109"/>
      <x:c r="W46" s="109"/>
      <x:c r="X46" s="109"/>
      <x:c r="Y46" s="109"/>
      <x:c r="Z46" s="109"/>
      <x:c r="AA46" s="109"/>
      <x:c r="AB46" s="109"/>
      <x:c r="AC46" s="109"/>
      <x:c r="AD46" s="109"/>
      <x:c r="AE46" s="109"/>
      <x:c r="AF46" s="109"/>
      <x:c r="AG46" s="109"/>
      <x:c r="AH46" s="109"/>
      <x:c r="AI46" s="109"/>
      <x:c r="AJ46" s="109"/>
      <x:c r="AK46" s="109"/>
      <x:c r="AL46" s="109"/>
      <x:c r="AM46" s="109"/>
      <x:c r="AN46" s="109"/>
      <x:c r="AO46" s="109"/>
      <x:c r="AP46" s="109"/>
      <x:c r="AQ46" s="109"/>
      <x:c r="AR46" s="109"/>
      <x:c r="AS46" s="109"/>
      <x:c r="AT46" s="109"/>
      <x:c r="AU46" s="109"/>
      <x:c r="AV46" s="109"/>
      <x:c r="AW46" s="109"/>
      <x:c r="AX46" s="109"/>
      <x:c r="AY46" s="109"/>
      <x:c r="AZ46" s="109"/>
      <x:c r="BA46" s="109"/>
      <x:c r="BB46" s="109"/>
      <x:c r="BC46" s="109"/>
      <x:c r="BD46" s="109"/>
      <x:c r="BE46" s="109"/>
      <x:c r="BF46" s="109"/>
      <x:c r="BG46" s="109"/>
      <x:c r="BH46" s="109"/>
      <x:c r="BI46" s="109"/>
      <x:c r="BJ46" s="109"/>
      <x:c r="BK46" s="109"/>
      <x:c r="BL46" s="109"/>
      <x:c r="BM46" s="109"/>
      <x:c r="BN46" s="109"/>
      <x:c r="BO46" s="109"/>
      <x:c r="BP46" s="109"/>
      <x:c r="BQ46" s="109"/>
      <x:c r="BR46" s="109"/>
      <x:c r="BS46" s="109"/>
    </x:row>
    <x:row r="47" ht="13.5" customHeight="1">
      <x:c r="A47" s="109"/>
      <x:c r="B47" s="109"/>
      <x:c r="C47" s="109"/>
      <x:c r="D47" s="109"/>
      <x:c r="E47" s="109"/>
      <x:c r="F47" s="109"/>
      <x:c r="G47" s="109"/>
      <x:c r="H47" s="109"/>
      <x:c r="I47" s="109"/>
      <x:c r="J47" s="109"/>
      <x:c r="K47" s="109"/>
      <x:c r="L47" s="109"/>
      <x:c r="M47" s="109"/>
      <x:c r="N47" s="109"/>
      <x:c r="O47" s="109"/>
      <x:c r="P47" s="109"/>
      <x:c r="Q47" s="109"/>
      <x:c r="R47" s="109"/>
      <x:c r="S47" s="109"/>
      <x:c r="T47" s="109"/>
      <x:c r="U47" s="109"/>
      <x:c r="V47" s="109"/>
      <x:c r="W47" s="109"/>
      <x:c r="X47" s="109"/>
      <x:c r="Y47" s="109"/>
      <x:c r="Z47" s="109"/>
      <x:c r="AA47" s="109"/>
      <x:c r="AB47" s="109"/>
      <x:c r="AC47" s="109"/>
      <x:c r="AD47" s="109"/>
      <x:c r="AE47" s="109"/>
      <x:c r="AF47" s="109"/>
      <x:c r="AG47" s="109"/>
      <x:c r="AH47" s="109"/>
      <x:c r="AI47" s="109"/>
      <x:c r="AJ47" s="109"/>
      <x:c r="AK47" s="109"/>
      <x:c r="AL47" s="109"/>
      <x:c r="AM47" s="109"/>
      <x:c r="AN47" s="109"/>
      <x:c r="AO47" s="109"/>
      <x:c r="AP47" s="109"/>
      <x:c r="AQ47" s="109"/>
      <x:c r="AR47" s="109"/>
      <x:c r="AS47" s="109"/>
      <x:c r="AT47" s="109"/>
      <x:c r="AU47" s="109"/>
      <x:c r="AV47" s="109"/>
      <x:c r="AW47" s="109"/>
      <x:c r="AX47" s="109"/>
      <x:c r="AY47" s="109"/>
      <x:c r="AZ47" s="109"/>
      <x:c r="BA47" s="109"/>
      <x:c r="BB47" s="109"/>
      <x:c r="BC47" s="109"/>
      <x:c r="BD47" s="109"/>
      <x:c r="BE47" s="109"/>
      <x:c r="BF47" s="109"/>
      <x:c r="BG47" s="109"/>
      <x:c r="BH47" s="109"/>
      <x:c r="BI47" s="109"/>
      <x:c r="BJ47" s="109"/>
      <x:c r="BK47" s="109"/>
      <x:c r="BL47" s="109"/>
      <x:c r="BM47" s="109"/>
      <x:c r="BN47" s="109"/>
      <x:c r="BO47" s="109"/>
      <x:c r="BP47" s="109"/>
      <x:c r="BQ47" s="109"/>
      <x:c r="BR47" s="109"/>
      <x:c r="BS47" s="109"/>
    </x:row>
    <x:row r="48" ht="13.5" customHeight="1">
      <x:c r="A48" s="109"/>
      <x:c r="B48" s="109"/>
      <x:c r="C48" s="109"/>
      <x:c r="D48" s="109"/>
      <x:c r="E48" s="109"/>
      <x:c r="F48" s="109"/>
      <x:c r="G48" s="109"/>
      <x:c r="H48" s="109"/>
      <x:c r="I48" s="109"/>
      <x:c r="J48" s="109"/>
      <x:c r="K48" s="109"/>
      <x:c r="L48" s="109"/>
      <x:c r="M48" s="109"/>
      <x:c r="N48" s="109"/>
      <x:c r="O48" s="109"/>
      <x:c r="P48" s="109"/>
      <x:c r="Q48" s="109"/>
      <x:c r="R48" s="109"/>
      <x:c r="S48" s="109"/>
      <x:c r="T48" s="109"/>
      <x:c r="U48" s="109"/>
      <x:c r="V48" s="109"/>
      <x:c r="W48" s="109"/>
      <x:c r="X48" s="109"/>
      <x:c r="Y48" s="109"/>
      <x:c r="Z48" s="109"/>
      <x:c r="AA48" s="109"/>
      <x:c r="AB48" s="109"/>
      <x:c r="AC48" s="109"/>
      <x:c r="AD48" s="109"/>
      <x:c r="AE48" s="109"/>
      <x:c r="AF48" s="109"/>
      <x:c r="AG48" s="109"/>
      <x:c r="AH48" s="109"/>
      <x:c r="AI48" s="109"/>
      <x:c r="AJ48" s="109"/>
      <x:c r="AK48" s="109"/>
      <x:c r="AL48" s="109"/>
      <x:c r="AM48" s="109"/>
      <x:c r="AN48" s="109"/>
      <x:c r="AO48" s="109"/>
      <x:c r="AP48" s="109"/>
      <x:c r="AQ48" s="109"/>
      <x:c r="AR48" s="109"/>
      <x:c r="AS48" s="109"/>
      <x:c r="AT48" s="109"/>
      <x:c r="AU48" s="109"/>
      <x:c r="AV48" s="109"/>
      <x:c r="AW48" s="109"/>
      <x:c r="AX48" s="109"/>
      <x:c r="AY48" s="109"/>
      <x:c r="AZ48" s="109"/>
      <x:c r="BA48" s="109"/>
      <x:c r="BB48" s="109"/>
      <x:c r="BC48" s="109"/>
      <x:c r="BD48" s="109"/>
      <x:c r="BE48" s="360" t="str">
        <x:v>画面联动辅助区 · 无需编辑</x:v>
      </x:c>
      <x:c r="BF48" s="360"/>
      <x:c r="BG48" s="360"/>
      <x:c r="BH48" s="360"/>
      <x:c r="BI48" s="360"/>
      <x:c r="BJ48" s="360"/>
      <x:c r="BK48" s="360"/>
      <x:c r="BL48" s="360"/>
      <x:c r="BM48" s="360"/>
      <x:c r="BN48" s="360"/>
      <x:c r="BO48" s="360"/>
      <x:c r="BP48" s="360"/>
      <x:c r="BQ48" s="360"/>
      <x:c r="BR48" s="360"/>
      <x:c r="BS48" s="360"/>
    </x:row>
    <x:row r="49" ht="13.5" customHeight="1">
      <x:c r="A49" s="109"/>
      <x:c r="B49" s="109"/>
      <x:c r="C49" s="109"/>
      <x:c r="D49" s="109"/>
      <x:c r="E49" s="109"/>
      <x:c r="F49" s="109"/>
      <x:c r="G49" s="109"/>
      <x:c r="H49" s="109"/>
      <x:c r="I49" s="109"/>
      <x:c r="J49" s="109"/>
      <x:c r="K49" s="109"/>
      <x:c r="L49" s="109"/>
      <x:c r="M49" s="109"/>
      <x:c r="N49" s="109"/>
      <x:c r="O49" s="109"/>
      <x:c r="P49" s="109"/>
      <x:c r="Q49" s="109"/>
      <x:c r="R49" s="109"/>
      <x:c r="S49" s="109"/>
      <x:c r="T49" s="109"/>
      <x:c r="U49" s="109"/>
      <x:c r="V49" s="109"/>
      <x:c r="W49" s="109"/>
      <x:c r="X49" s="109"/>
      <x:c r="Y49" s="109"/>
      <x:c r="Z49" s="109"/>
      <x:c r="AA49" s="109"/>
      <x:c r="AB49" s="109"/>
      <x:c r="AC49" s="109"/>
      <x:c r="AD49" s="109"/>
      <x:c r="AE49" s="109"/>
      <x:c r="AF49" s="109"/>
      <x:c r="AG49" s="109"/>
      <x:c r="AH49" s="109"/>
      <x:c r="AI49" s="109"/>
      <x:c r="AJ49" s="109"/>
      <x:c r="AK49" s="109"/>
      <x:c r="AL49" s="109"/>
      <x:c r="AM49" s="109"/>
      <x:c r="AN49" s="109"/>
      <x:c r="AO49" s="109"/>
      <x:c r="AP49" s="109"/>
      <x:c r="AQ49" s="109"/>
      <x:c r="AR49" s="109"/>
      <x:c r="AS49" s="109"/>
      <x:c r="AT49" s="109"/>
      <x:c r="AU49" s="109"/>
      <x:c r="AV49" s="109"/>
      <x:c r="AW49" s="109"/>
      <x:c r="AX49" s="109"/>
      <x:c r="AY49" s="109"/>
      <x:c r="AZ49" s="109"/>
      <x:c r="BA49" s="109"/>
      <x:c r="BB49" s="109"/>
      <x:c r="BC49" s="109"/>
      <x:c r="BD49" s="109"/>
      <x:c r="BE49" s="362" t="str">
        <x:v>车号</x:v>
      </x:c>
      <x:c r="BF49" s="362" t="str">
        <x:v>坐标键</x:v>
      </x:c>
      <x:c r="BG49" s="362" t="str">
        <x:v>字符</x:v>
      </x:c>
      <x:c r="BH49" s="362" t="str">
        <x:v>排序车号</x:v>
      </x:c>
      <x:c r="BI49" s="109"/>
      <x:c r="BJ49" s="109"/>
      <x:c r="BK49" s="109"/>
      <x:c r="BL49" s="109"/>
      <x:c r="BM49" s="109"/>
      <x:c r="BN49" s="109"/>
      <x:c r="BO49" s="109"/>
      <x:c r="BP49" s="109"/>
      <x:c r="BQ49" s="109"/>
      <x:c r="BR49" s="109"/>
      <x:c r="BS49" s="109"/>
    </x:row>
    <x:row r="50" ht="13.5" customHeight="1">
      <x:c r="A50" s="109"/>
      <x:c r="B50" s="109"/>
      <x:c r="C50" s="109"/>
      <x:c r="D50" s="109"/>
      <x:c r="E50" s="109"/>
      <x:c r="F50" s="109"/>
      <x:c r="G50" s="109"/>
      <x:c r="H50" s="109"/>
      <x:c r="I50" s="109"/>
      <x:c r="J50" s="109"/>
      <x:c r="K50" s="109"/>
      <x:c r="L50" s="109"/>
      <x:c r="M50" s="109"/>
      <x:c r="N50" s="109"/>
      <x:c r="O50" s="109"/>
      <x:c r="P50" s="109"/>
      <x:c r="Q50" s="109"/>
      <x:c r="R50" s="109"/>
      <x:c r="S50" s="109"/>
      <x:c r="T50" s="109"/>
      <x:c r="U50" s="109"/>
      <x:c r="V50" s="109"/>
      <x:c r="W50" s="109"/>
      <x:c r="X50" s="109"/>
      <x:c r="Y50" s="109"/>
      <x:c r="Z50" s="109"/>
      <x:c r="AA50" s="109"/>
      <x:c r="AB50" s="109"/>
      <x:c r="AC50" s="109"/>
      <x:c r="AD50" s="109"/>
      <x:c r="AE50" s="109"/>
      <x:c r="AF50" s="109"/>
      <x:c r="AG50" s="109"/>
      <x:c r="AH50" s="109"/>
      <x:c r="AI50" s="109"/>
      <x:c r="AJ50" s="109"/>
      <x:c r="AK50" s="109"/>
      <x:c r="AL50" s="109"/>
      <x:c r="AM50" s="109"/>
      <x:c r="AN50" s="109"/>
      <x:c r="AO50" s="109"/>
      <x:c r="AP50" s="109"/>
      <x:c r="AQ50" s="109"/>
      <x:c r="AR50" s="109"/>
      <x:c r="AS50" s="109"/>
      <x:c r="AT50" s="109"/>
      <x:c r="AU50" s="109"/>
      <x:c r="AV50" s="109"/>
      <x:c r="AW50" s="109"/>
      <x:c r="AX50" s="109"/>
      <x:c r="AY50" s="109"/>
      <x:c r="AZ50" s="109"/>
      <x:c r="BA50" s="109"/>
      <x:c r="BB50" s="109"/>
      <x:c r="BC50" s="109"/>
      <x:c r="BD50" s="109"/>
      <x:c r="BE50" s="362" t="n">
        <x:f>Live!B8</x:f>
        <x:v>1</x:v>
      </x:c>
      <x:c r="BF50" s="362" t="n">
        <x:f>Live!S8</x:f>
        <x:v>3116</x:v>
      </x:c>
      <x:c r="BG50" s="362" t="str">
        <x:f>Live!T8</x:f>
        <x:v>←1</x:v>
      </x:c>
      <x:c r="BH50" s="362" t="n">
        <x:f>Live!B19</x:f>
        <x:v>3</x:v>
      </x:c>
      <x:c r="BI50" s="109"/>
      <x:c r="BJ50" s="109"/>
      <x:c r="BK50" s="109"/>
      <x:c r="BL50" s="109"/>
      <x:c r="BM50" s="109"/>
      <x:c r="BN50" s="109"/>
      <x:c r="BO50" s="109"/>
      <x:c r="BP50" s="109"/>
      <x:c r="BQ50" s="109"/>
      <x:c r="BR50" s="109"/>
      <x:c r="BS50" s="109"/>
    </x:row>
    <x:row r="51" ht="13.5" customHeight="1">
      <x:c r="A51" s="109"/>
      <x:c r="B51" s="109"/>
      <x:c r="C51" s="109"/>
      <x:c r="D51" s="109"/>
      <x:c r="E51" s="109"/>
      <x:c r="F51" s="109"/>
      <x:c r="G51" s="109"/>
      <x:c r="H51" s="109"/>
      <x:c r="I51" s="109"/>
      <x:c r="J51" s="109"/>
      <x:c r="K51" s="109"/>
      <x:c r="L51" s="109"/>
      <x:c r="M51" s="109"/>
      <x:c r="N51" s="109"/>
      <x:c r="O51" s="109"/>
      <x:c r="P51" s="109"/>
      <x:c r="Q51" s="109"/>
      <x:c r="R51" s="109"/>
      <x:c r="S51" s="109"/>
      <x:c r="T51" s="109"/>
      <x:c r="U51" s="109"/>
      <x:c r="V51" s="109"/>
      <x:c r="W51" s="109"/>
      <x:c r="X51" s="109"/>
      <x:c r="Y51" s="109"/>
      <x:c r="Z51" s="109"/>
      <x:c r="AA51" s="109"/>
      <x:c r="AB51" s="109"/>
      <x:c r="AC51" s="109"/>
      <x:c r="AD51" s="109"/>
      <x:c r="AE51" s="109"/>
      <x:c r="AF51" s="109"/>
      <x:c r="AG51" s="109"/>
      <x:c r="AH51" s="109"/>
      <x:c r="AI51" s="109"/>
      <x:c r="AJ51" s="109"/>
      <x:c r="AK51" s="109"/>
      <x:c r="AL51" s="109"/>
      <x:c r="AM51" s="109"/>
      <x:c r="AN51" s="109"/>
      <x:c r="AO51" s="109"/>
      <x:c r="AP51" s="109"/>
      <x:c r="AQ51" s="109"/>
      <x:c r="AR51" s="109"/>
      <x:c r="AS51" s="109"/>
      <x:c r="AT51" s="109"/>
      <x:c r="AU51" s="109"/>
      <x:c r="AV51" s="109"/>
      <x:c r="AW51" s="109"/>
      <x:c r="AX51" s="109"/>
      <x:c r="AY51" s="109"/>
      <x:c r="AZ51" s="109"/>
      <x:c r="BA51" s="109"/>
      <x:c r="BB51" s="109"/>
      <x:c r="BC51" s="109"/>
      <x:c r="BD51" s="109"/>
      <x:c r="BE51" s="362" t="n">
        <x:f>Live!B9</x:f>
        <x:v>2</x:v>
      </x:c>
      <x:c r="BF51" s="362" t="n">
        <x:f>Live!S9</x:f>
        <x:v>3027</x:v>
      </x:c>
      <x:c r="BG51" s="362" t="str">
        <x:f>Live!T9</x:f>
        <x:v>←2</x:v>
      </x:c>
      <x:c r="BH51" s="362" t="n">
        <x:f>Live!B20</x:f>
        <x:v>6</x:v>
      </x:c>
      <x:c r="BI51" s="109"/>
      <x:c r="BJ51" s="109"/>
      <x:c r="BK51" s="109"/>
      <x:c r="BL51" s="109"/>
      <x:c r="BM51" s="109"/>
      <x:c r="BN51" s="109"/>
      <x:c r="BO51" s="109"/>
      <x:c r="BP51" s="109"/>
      <x:c r="BQ51" s="109"/>
      <x:c r="BR51" s="109"/>
      <x:c r="BS51" s="109"/>
    </x:row>
    <x:row r="52" ht="13.5" customHeight="1">
      <x:c r="A52" s="109"/>
      <x:c r="B52" s="109"/>
      <x:c r="C52" s="109"/>
      <x:c r="D52" s="109"/>
      <x:c r="E52" s="109"/>
      <x:c r="F52" s="109"/>
      <x:c r="G52" s="109"/>
      <x:c r="H52" s="109"/>
      <x:c r="I52" s="109"/>
      <x:c r="J52" s="109"/>
      <x:c r="K52" s="109"/>
      <x:c r="L52" s="109"/>
      <x:c r="M52" s="109"/>
      <x:c r="N52" s="109"/>
      <x:c r="O52" s="109"/>
      <x:c r="P52" s="109"/>
      <x:c r="Q52" s="109"/>
      <x:c r="R52" s="109"/>
      <x:c r="S52" s="109"/>
      <x:c r="T52" s="109"/>
      <x:c r="U52" s="109"/>
      <x:c r="V52" s="109"/>
      <x:c r="W52" s="109"/>
      <x:c r="X52" s="109"/>
      <x:c r="Y52" s="109"/>
      <x:c r="Z52" s="109"/>
      <x:c r="AA52" s="109"/>
      <x:c r="AB52" s="109"/>
      <x:c r="AC52" s="109"/>
      <x:c r="AD52" s="109"/>
      <x:c r="AE52" s="109"/>
      <x:c r="AF52" s="109"/>
      <x:c r="AG52" s="109"/>
      <x:c r="AH52" s="109"/>
      <x:c r="AI52" s="109"/>
      <x:c r="AJ52" s="109"/>
      <x:c r="AK52" s="109"/>
      <x:c r="AL52" s="109"/>
      <x:c r="AM52" s="109"/>
      <x:c r="AN52" s="109"/>
      <x:c r="AO52" s="109"/>
      <x:c r="AP52" s="109"/>
      <x:c r="AQ52" s="109"/>
      <x:c r="AR52" s="109"/>
      <x:c r="AS52" s="109"/>
      <x:c r="AT52" s="109"/>
      <x:c r="AU52" s="109"/>
      <x:c r="AV52" s="109"/>
      <x:c r="AW52" s="109"/>
      <x:c r="AX52" s="109"/>
      <x:c r="AY52" s="109"/>
      <x:c r="AZ52" s="109"/>
      <x:c r="BA52" s="109"/>
      <x:c r="BB52" s="109"/>
      <x:c r="BC52" s="109"/>
      <x:c r="BD52" s="109"/>
      <x:c r="BE52" s="362" t="n">
        <x:f>Live!B10</x:f>
        <x:v>3</x:v>
      </x:c>
      <x:c r="BF52" s="362" t="n">
        <x:f>Live!S10</x:f>
        <x:v>2403</x:v>
      </x:c>
      <x:c r="BG52" s="362" t="str">
        <x:f>Live!T10</x:f>
        <x:v>↑3</x:v>
      </x:c>
      <x:c r="BH52" s="362" t="n">
        <x:f>Live!B21</x:f>
        <x:v>5</x:v>
      </x:c>
      <x:c r="BI52" s="109"/>
      <x:c r="BJ52" s="109"/>
      <x:c r="BK52" s="109"/>
      <x:c r="BL52" s="109"/>
      <x:c r="BM52" s="109"/>
      <x:c r="BN52" s="109"/>
      <x:c r="BO52" s="109"/>
      <x:c r="BP52" s="109"/>
      <x:c r="BQ52" s="109"/>
      <x:c r="BR52" s="109"/>
      <x:c r="BS52" s="109"/>
    </x:row>
    <x:row r="53" ht="13.5" customHeight="1">
      <x:c r="A53" s="109"/>
      <x:c r="B53" s="109"/>
      <x:c r="C53" s="109"/>
      <x:c r="D53" s="109"/>
      <x:c r="E53" s="109"/>
      <x:c r="F53" s="109"/>
      <x:c r="G53" s="109"/>
      <x:c r="H53" s="109"/>
      <x:c r="I53" s="109"/>
      <x:c r="J53" s="109"/>
      <x:c r="K53" s="109"/>
      <x:c r="L53" s="109"/>
      <x:c r="M53" s="109"/>
      <x:c r="N53" s="109"/>
      <x:c r="O53" s="109"/>
      <x:c r="P53" s="109"/>
      <x:c r="Q53" s="109"/>
      <x:c r="R53" s="109"/>
      <x:c r="S53" s="109"/>
      <x:c r="T53" s="109"/>
      <x:c r="U53" s="109"/>
      <x:c r="V53" s="109"/>
      <x:c r="W53" s="109"/>
      <x:c r="X53" s="109"/>
      <x:c r="Y53" s="109"/>
      <x:c r="Z53" s="109"/>
      <x:c r="AA53" s="109"/>
      <x:c r="AB53" s="109"/>
      <x:c r="AC53" s="109"/>
      <x:c r="AD53" s="109"/>
      <x:c r="AE53" s="109"/>
      <x:c r="AF53" s="109"/>
      <x:c r="AG53" s="109"/>
      <x:c r="AH53" s="109"/>
      <x:c r="AI53" s="109"/>
      <x:c r="AJ53" s="109"/>
      <x:c r="AK53" s="109"/>
      <x:c r="AL53" s="109"/>
      <x:c r="AM53" s="109"/>
      <x:c r="AN53" s="109"/>
      <x:c r="AO53" s="109"/>
      <x:c r="AP53" s="109"/>
      <x:c r="AQ53" s="109"/>
      <x:c r="AR53" s="109"/>
      <x:c r="AS53" s="109"/>
      <x:c r="AT53" s="109"/>
      <x:c r="AU53" s="109"/>
      <x:c r="AV53" s="109"/>
      <x:c r="AW53" s="109"/>
      <x:c r="AX53" s="109"/>
      <x:c r="AY53" s="109"/>
      <x:c r="AZ53" s="109"/>
      <x:c r="BA53" s="109"/>
      <x:c r="BB53" s="109"/>
      <x:c r="BC53" s="109"/>
      <x:c r="BD53" s="109"/>
      <x:c r="BE53" s="362" t="n">
        <x:f>Live!B11</x:f>
        <x:v>4</x:v>
      </x:c>
      <x:c r="BF53" s="362" t="n">
        <x:f>Live!S11</x:f>
        <x:v>3024</x:v>
      </x:c>
      <x:c r="BG53" s="362" t="str">
        <x:f>Live!T11</x:f>
        <x:v>←4</x:v>
      </x:c>
      <x:c r="BH53" s="362" t="n">
        <x:f>Live!B22</x:f>
        <x:v>1</x:v>
      </x:c>
      <x:c r="BI53" s="109"/>
      <x:c r="BJ53" s="109"/>
      <x:c r="BK53" s="109"/>
      <x:c r="BL53" s="109"/>
      <x:c r="BM53" s="109"/>
      <x:c r="BN53" s="109"/>
      <x:c r="BO53" s="109"/>
      <x:c r="BP53" s="109"/>
      <x:c r="BQ53" s="109"/>
      <x:c r="BR53" s="109"/>
      <x:c r="BS53" s="109"/>
    </x:row>
    <x:row r="54" ht="13.5" customHeight="1">
      <x:c r="A54" s="109"/>
      <x:c r="B54" s="109"/>
      <x:c r="C54" s="109"/>
      <x:c r="D54" s="109"/>
      <x:c r="E54" s="109"/>
      <x:c r="F54" s="109"/>
      <x:c r="G54" s="109"/>
      <x:c r="H54" s="109"/>
      <x:c r="I54" s="109"/>
      <x:c r="J54" s="109"/>
      <x:c r="K54" s="109"/>
      <x:c r="L54" s="109"/>
      <x:c r="M54" s="109"/>
      <x:c r="N54" s="109"/>
      <x:c r="O54" s="109"/>
      <x:c r="P54" s="109"/>
      <x:c r="Q54" s="109"/>
      <x:c r="R54" s="109"/>
      <x:c r="S54" s="109"/>
      <x:c r="T54" s="109"/>
      <x:c r="U54" s="109"/>
      <x:c r="V54" s="109"/>
      <x:c r="W54" s="109"/>
      <x:c r="X54" s="109"/>
      <x:c r="Y54" s="109"/>
      <x:c r="Z54" s="109"/>
      <x:c r="AA54" s="109"/>
      <x:c r="AB54" s="109"/>
      <x:c r="AC54" s="109"/>
      <x:c r="AD54" s="109"/>
      <x:c r="AE54" s="109"/>
      <x:c r="AF54" s="109"/>
      <x:c r="AG54" s="109"/>
      <x:c r="AH54" s="109"/>
      <x:c r="AI54" s="109"/>
      <x:c r="AJ54" s="109"/>
      <x:c r="AK54" s="109"/>
      <x:c r="AL54" s="109"/>
      <x:c r="AM54" s="109"/>
      <x:c r="AN54" s="109"/>
      <x:c r="AO54" s="109"/>
      <x:c r="AP54" s="109"/>
      <x:c r="AQ54" s="109"/>
      <x:c r="AR54" s="109"/>
      <x:c r="AS54" s="109"/>
      <x:c r="AT54" s="109"/>
      <x:c r="AU54" s="109"/>
      <x:c r="AV54" s="109"/>
      <x:c r="AW54" s="109"/>
      <x:c r="AX54" s="109"/>
      <x:c r="AY54" s="109"/>
      <x:c r="AZ54" s="109"/>
      <x:c r="BA54" s="109"/>
      <x:c r="BB54" s="109"/>
      <x:c r="BC54" s="109"/>
      <x:c r="BD54" s="109"/>
      <x:c r="BE54" s="362" t="n">
        <x:f>Live!B12</x:f>
        <x:v>5</x:v>
      </x:c>
      <x:c r="BF54" s="362" t="n">
        <x:f>Live!S12</x:f>
        <x:v>3107</x:v>
      </x:c>
      <x:c r="BG54" s="362" t="str">
        <x:f>Live!T12</x:f>
        <x:v>←5</x:v>
      </x:c>
      <x:c r="BH54" s="362" t="n">
        <x:f>Live!B23</x:f>
        <x:v>4</x:v>
      </x:c>
      <x:c r="BI54" s="109"/>
      <x:c r="BJ54" s="109"/>
      <x:c r="BK54" s="109"/>
      <x:c r="BL54" s="109"/>
      <x:c r="BM54" s="109"/>
      <x:c r="BN54" s="109"/>
      <x:c r="BO54" s="109"/>
      <x:c r="BP54" s="109"/>
      <x:c r="BQ54" s="109"/>
      <x:c r="BR54" s="109"/>
      <x:c r="BS54" s="109"/>
    </x:row>
    <x:row r="55" ht="13.5" customHeight="1">
      <x:c r="A55" s="109"/>
      <x:c r="B55" s="109"/>
      <x:c r="C55" s="109"/>
      <x:c r="D55" s="109"/>
      <x:c r="E55" s="109"/>
      <x:c r="F55" s="109"/>
      <x:c r="G55" s="109"/>
      <x:c r="H55" s="109"/>
      <x:c r="I55" s="109"/>
      <x:c r="J55" s="109"/>
      <x:c r="K55" s="109"/>
      <x:c r="L55" s="109"/>
      <x:c r="M55" s="109"/>
      <x:c r="N55" s="109"/>
      <x:c r="O55" s="109"/>
      <x:c r="P55" s="109"/>
      <x:c r="Q55" s="109"/>
      <x:c r="R55" s="109"/>
      <x:c r="S55" s="109"/>
      <x:c r="T55" s="109"/>
      <x:c r="U55" s="109"/>
      <x:c r="V55" s="109"/>
      <x:c r="W55" s="109"/>
      <x:c r="X55" s="109"/>
      <x:c r="Y55" s="109"/>
      <x:c r="Z55" s="109"/>
      <x:c r="AA55" s="109"/>
      <x:c r="AB55" s="109"/>
      <x:c r="AC55" s="109"/>
      <x:c r="AD55" s="109"/>
      <x:c r="AE55" s="109"/>
      <x:c r="AF55" s="109"/>
      <x:c r="AG55" s="109"/>
      <x:c r="AH55" s="109"/>
      <x:c r="AI55" s="109"/>
      <x:c r="AJ55" s="109"/>
      <x:c r="AK55" s="109"/>
      <x:c r="AL55" s="109"/>
      <x:c r="AM55" s="109"/>
      <x:c r="AN55" s="109"/>
      <x:c r="AO55" s="109"/>
      <x:c r="AP55" s="109"/>
      <x:c r="AQ55" s="109"/>
      <x:c r="AR55" s="109"/>
      <x:c r="AS55" s="109"/>
      <x:c r="AT55" s="109"/>
      <x:c r="AU55" s="109"/>
      <x:c r="AV55" s="109"/>
      <x:c r="AW55" s="109"/>
      <x:c r="AX55" s="109"/>
      <x:c r="AY55" s="109"/>
      <x:c r="AZ55" s="109"/>
      <x:c r="BA55" s="109"/>
      <x:c r="BB55" s="109"/>
      <x:c r="BC55" s="109"/>
      <x:c r="BD55" s="109"/>
      <x:c r="BE55" s="362" t="n">
        <x:f>Live!B13</x:f>
        <x:v>6</x:v>
      </x:c>
      <x:c r="BF55" s="362" t="n">
        <x:f>Live!S13</x:f>
        <x:v>2704</x:v>
      </x:c>
      <x:c r="BG55" s="362" t="str">
        <x:f>Live!T13</x:f>
        <x:v>↑6</x:v>
      </x:c>
      <x:c r="BH55" s="362" t="n">
        <x:f>Live!B24</x:f>
        <x:v>2</x:v>
      </x:c>
      <x:c r="BI55" s="109"/>
      <x:c r="BJ55" s="109"/>
      <x:c r="BK55" s="109"/>
      <x:c r="BL55" s="109"/>
      <x:c r="BM55" s="109"/>
      <x:c r="BN55" s="109"/>
      <x:c r="BO55" s="109"/>
      <x:c r="BP55" s="109"/>
      <x:c r="BQ55" s="109"/>
      <x:c r="BR55" s="109"/>
      <x:c r="BS55" s="109"/>
    </x:row>
    <x:row r="56" ht="13.5" customHeight="1">
      <x:c r="A56" s="109"/>
      <x:c r="B56" s="109"/>
      <x:c r="C56" s="109"/>
      <x:c r="D56" s="109"/>
      <x:c r="E56" s="109"/>
      <x:c r="F56" s="109"/>
      <x:c r="G56" s="109"/>
      <x:c r="H56" s="109"/>
      <x:c r="I56" s="109"/>
      <x:c r="J56" s="109"/>
      <x:c r="K56" s="109"/>
      <x:c r="L56" s="109"/>
      <x:c r="M56" s="109"/>
      <x:c r="N56" s="109"/>
      <x:c r="O56" s="109"/>
      <x:c r="P56" s="109"/>
      <x:c r="Q56" s="109"/>
      <x:c r="R56" s="109"/>
      <x:c r="S56" s="109"/>
      <x:c r="T56" s="109"/>
      <x:c r="U56" s="109"/>
      <x:c r="V56" s="109"/>
      <x:c r="W56" s="109"/>
      <x:c r="X56" s="109"/>
      <x:c r="Y56" s="109"/>
      <x:c r="Z56" s="109"/>
      <x:c r="AA56" s="109"/>
      <x:c r="AB56" s="109"/>
      <x:c r="AC56" s="109"/>
      <x:c r="AD56" s="109"/>
      <x:c r="AE56" s="109"/>
      <x:c r="AF56" s="109"/>
      <x:c r="AG56" s="109"/>
      <x:c r="AH56" s="109"/>
      <x:c r="AI56" s="109"/>
      <x:c r="AJ56" s="109"/>
      <x:c r="AK56" s="109"/>
      <x:c r="AL56" s="109"/>
      <x:c r="AM56" s="109"/>
      <x:c r="AN56" s="109"/>
      <x:c r="AO56" s="109"/>
      <x:c r="AP56" s="109"/>
      <x:c r="AQ56" s="109"/>
      <x:c r="AR56" s="109"/>
      <x:c r="AS56" s="109"/>
      <x:c r="AT56" s="109"/>
      <x:c r="AU56" s="109"/>
      <x:c r="AV56" s="109"/>
      <x:c r="AW56" s="109"/>
      <x:c r="AX56" s="109"/>
      <x:c r="AY56" s="109"/>
      <x:c r="AZ56" s="109"/>
      <x:c r="BA56" s="109"/>
      <x:c r="BB56" s="109"/>
      <x:c r="BC56" s="109"/>
      <x:c r="BD56" s="109"/>
      <x:c r="BE56" s="109"/>
      <x:c r="BF56" s="109"/>
      <x:c r="BG56" s="109"/>
      <x:c r="BH56" s="109"/>
      <x:c r="BI56" s="109"/>
      <x:c r="BJ56" s="109"/>
      <x:c r="BK56" s="109"/>
      <x:c r="BL56" s="109"/>
      <x:c r="BM56" s="109"/>
      <x:c r="BN56" s="109"/>
      <x:c r="BO56" s="109"/>
      <x:c r="BP56" s="109"/>
      <x:c r="BQ56" s="109"/>
      <x:c r="BR56" s="109"/>
      <x:c r="BS56" s="109"/>
    </x:row>
  </x:sheetData>
  <x:mergeCells>
    <x:mergeCell ref="C1:AU2"/>
    <x:mergeCell ref="C3:BB3"/>
    <x:mergeCell ref="BI2:BQ3"/>
    <x:mergeCell ref="V7:AQ7"/>
    <x:mergeCell ref="W8:AP10"/>
    <x:mergeCell ref="W11:AP12"/>
    <x:mergeCell ref="W13:AP13"/>
    <x:mergeCell ref="P21:AS21"/>
    <x:mergeCell ref="P22:T22"/>
    <x:mergeCell ref="P24:T24"/>
    <x:mergeCell ref="P25:T25"/>
    <x:mergeCell ref="U22:Y22"/>
    <x:mergeCell ref="U24:Y24"/>
    <x:mergeCell ref="U25:Y25"/>
    <x:mergeCell ref="Z22:AD22"/>
    <x:mergeCell ref="Z24:AD24"/>
    <x:mergeCell ref="Z25:AD25"/>
    <x:mergeCell ref="AE22:AI22"/>
    <x:mergeCell ref="AE24:AI24"/>
    <x:mergeCell ref="AE25:AI25"/>
    <x:mergeCell ref="AJ22:AN22"/>
    <x:mergeCell ref="AJ24:AN24"/>
    <x:mergeCell ref="AJ25:AN25"/>
    <x:mergeCell ref="AO22:AS22"/>
    <x:mergeCell ref="AO24:AS24"/>
    <x:mergeCell ref="AO25:AS25"/>
    <x:mergeCell ref="BE6:BS7"/>
    <x:mergeCell ref="BE9:BK10"/>
    <x:mergeCell ref="BL9:BS10"/>
    <x:mergeCell ref="BE12:BS12"/>
    <x:mergeCell ref="BF14:BK14"/>
    <x:mergeCell ref="BL14:BR14"/>
    <x:mergeCell ref="BF15:BK15"/>
    <x:mergeCell ref="BL15:BR15"/>
    <x:mergeCell ref="BF16:BK16"/>
    <x:mergeCell ref="BL16:BR16"/>
    <x:mergeCell ref="BE18:BS19"/>
    <x:mergeCell ref="BE21:BF21"/>
    <x:mergeCell ref="BG21:BL21"/>
    <x:mergeCell ref="BM21:BO21"/>
    <x:mergeCell ref="BP21:BS21"/>
    <x:mergeCell ref="BE22:BF23"/>
    <x:mergeCell ref="BG22:BL23"/>
    <x:mergeCell ref="BM22:BO23"/>
    <x:mergeCell ref="BP22:BS23"/>
    <x:mergeCell ref="BE24:BF25"/>
    <x:mergeCell ref="BG24:BL25"/>
    <x:mergeCell ref="BM24:BO25"/>
    <x:mergeCell ref="BP24:BS25"/>
    <x:mergeCell ref="BE26:BF27"/>
    <x:mergeCell ref="BG26:BL27"/>
    <x:mergeCell ref="BM26:BO27"/>
    <x:mergeCell ref="BP26:BS27"/>
    <x:mergeCell ref="BE28:BF29"/>
    <x:mergeCell ref="BG28:BL29"/>
    <x:mergeCell ref="BM28:BO29"/>
    <x:mergeCell ref="BP28:BS29"/>
    <x:mergeCell ref="BE30:BF31"/>
    <x:mergeCell ref="BG30:BL31"/>
    <x:mergeCell ref="BM30:BO31"/>
    <x:mergeCell ref="BP30:BS31"/>
    <x:mergeCell ref="BE32:BF33"/>
    <x:mergeCell ref="BG32:BL33"/>
    <x:mergeCell ref="BM32:BO33"/>
    <x:mergeCell ref="BP32:BS33"/>
    <x:mergeCell ref="BE35:BS35"/>
    <x:mergeCell ref="BE48:BS48"/>
    <x:mergeCell ref="BE37:BK38"/>
    <x:mergeCell ref="BL37:BS38"/>
    <x:mergeCell ref="BE40:BK41"/>
    <x:mergeCell ref="BL40:BS41"/>
    <x:mergeCell ref="BE43:BS44"/>
    <x:mergeCell ref="A37:N38"/>
    <x:mergeCell ref="A39:N40"/>
    <x:mergeCell ref="O37:AB38"/>
    <x:mergeCell ref="O39:AB40"/>
    <x:mergeCell ref="AC37:AP38"/>
    <x:mergeCell ref="AC39:AP40"/>
    <x:mergeCell ref="AQ37:BC38"/>
    <x:mergeCell ref="AQ39:BC40"/>
    <x:mergeCell ref="A42:BC42"/>
    <x:mergeCell ref="B44:I44"/>
    <x:mergeCell ref="K44:R44"/>
    <x:mergeCell ref="T44:AA44"/>
    <x:mergeCell ref="AC44:AJ44"/>
    <x:mergeCell ref="AL44:AS44"/>
    <x:mergeCell ref="AU44:BB44"/>
  </x:mergeCells>
  <x:conditionalFormatting sqref="A6:BC35">
    <x:cfRule type="expression" dxfId="44" priority="43">
      <x:formula>($BF$50=ROW()*100+COLUMN())</x:formula>
    </x:cfRule>
    <x:cfRule type="expression" dxfId="45" priority="44">
      <x:formula>($BF$51=ROW()*100+COLUMN())</x:formula>
    </x:cfRule>
    <x:cfRule type="expression" dxfId="46" priority="45">
      <x:formula>($BF$52=ROW()*100+COLUMN())</x:formula>
    </x:cfRule>
    <x:cfRule type="expression" dxfId="47" priority="46">
      <x:formula>($BF$53=ROW()*100+COLUMN())</x:formula>
    </x:cfRule>
    <x:cfRule type="expression" dxfId="48" priority="47">
      <x:formula>($BF$54=ROW()*100+COLUMN())</x:formula>
    </x:cfRule>
    <x:cfRule type="expression" dxfId="49" priority="48">
      <x:formula>($BF$55=ROW()*100+COLUMN())</x:formula>
    </x:cfRule>
  </x:conditionalFormatting>
  <x:conditionalFormatting sqref="BG22:BL23">
    <x:cfRule type="expression" dxfId="50" priority="49">
      <x:formula>$BH$50=1</x:formula>
    </x:cfRule>
    <x:cfRule type="expression" dxfId="51" priority="50">
      <x:formula>$BH$50=2</x:formula>
    </x:cfRule>
    <x:cfRule type="expression" dxfId="52" priority="51">
      <x:formula>$BH$50=3</x:formula>
    </x:cfRule>
    <x:cfRule type="expression" dxfId="53" priority="52">
      <x:formula>$BH$50=4</x:formula>
    </x:cfRule>
    <x:cfRule type="expression" dxfId="54" priority="53">
      <x:formula>$BH$50=5</x:formula>
    </x:cfRule>
    <x:cfRule type="expression" dxfId="55" priority="54">
      <x:formula>$BH$50=6</x:formula>
    </x:cfRule>
  </x:conditionalFormatting>
  <x:conditionalFormatting sqref="BG24:BL25">
    <x:cfRule type="expression" dxfId="56" priority="55">
      <x:formula>$BH$51=1</x:formula>
    </x:cfRule>
    <x:cfRule type="expression" dxfId="57" priority="56">
      <x:formula>$BH$51=2</x:formula>
    </x:cfRule>
    <x:cfRule type="expression" dxfId="58" priority="57">
      <x:formula>$BH$51=3</x:formula>
    </x:cfRule>
    <x:cfRule type="expression" dxfId="59" priority="58">
      <x:formula>$BH$51=4</x:formula>
    </x:cfRule>
    <x:cfRule type="expression" dxfId="60" priority="59">
      <x:formula>$BH$51=5</x:formula>
    </x:cfRule>
    <x:cfRule type="expression" dxfId="61" priority="60">
      <x:formula>$BH$51=6</x:formula>
    </x:cfRule>
  </x:conditionalFormatting>
  <x:conditionalFormatting sqref="BG26:BL27">
    <x:cfRule type="expression" dxfId="62" priority="61">
      <x:formula>$BH$52=1</x:formula>
    </x:cfRule>
    <x:cfRule type="expression" dxfId="63" priority="62">
      <x:formula>$BH$52=2</x:formula>
    </x:cfRule>
    <x:cfRule type="expression" dxfId="64" priority="63">
      <x:formula>$BH$52=3</x:formula>
    </x:cfRule>
    <x:cfRule type="expression" dxfId="65" priority="64">
      <x:formula>$BH$52=4</x:formula>
    </x:cfRule>
    <x:cfRule type="expression" dxfId="66" priority="65">
      <x:formula>$BH$52=5</x:formula>
    </x:cfRule>
    <x:cfRule type="expression" dxfId="67" priority="66">
      <x:formula>$BH$52=6</x:formula>
    </x:cfRule>
  </x:conditionalFormatting>
  <x:conditionalFormatting sqref="BG28:BL29">
    <x:cfRule type="expression" dxfId="68" priority="67">
      <x:formula>$BH$53=1</x:formula>
    </x:cfRule>
    <x:cfRule type="expression" dxfId="69" priority="68">
      <x:formula>$BH$53=2</x:formula>
    </x:cfRule>
    <x:cfRule type="expression" dxfId="70" priority="69">
      <x:formula>$BH$53=3</x:formula>
    </x:cfRule>
    <x:cfRule type="expression" dxfId="71" priority="70">
      <x:formula>$BH$53=4</x:formula>
    </x:cfRule>
    <x:cfRule type="expression" dxfId="72" priority="71">
      <x:formula>$BH$53=5</x:formula>
    </x:cfRule>
    <x:cfRule type="expression" dxfId="73" priority="72">
      <x:formula>$BH$53=6</x:formula>
    </x:cfRule>
  </x:conditionalFormatting>
  <x:conditionalFormatting sqref="BG30:BL31">
    <x:cfRule type="expression" dxfId="74" priority="73">
      <x:formula>$BH$54=1</x:formula>
    </x:cfRule>
    <x:cfRule type="expression" dxfId="75" priority="74">
      <x:formula>$BH$54=2</x:formula>
    </x:cfRule>
    <x:cfRule type="expression" dxfId="76" priority="75">
      <x:formula>$BH$54=3</x:formula>
    </x:cfRule>
    <x:cfRule type="expression" dxfId="77" priority="76">
      <x:formula>$BH$54=4</x:formula>
    </x:cfRule>
    <x:cfRule type="expression" dxfId="78" priority="77">
      <x:formula>$BH$54=5</x:formula>
    </x:cfRule>
    <x:cfRule type="expression" dxfId="79" priority="78">
      <x:formula>$BH$54=6</x:formula>
    </x:cfRule>
  </x:conditionalFormatting>
  <x:conditionalFormatting sqref="BG32:BL33">
    <x:cfRule type="expression" dxfId="80" priority="79">
      <x:formula>$BH$55=1</x:formula>
    </x:cfRule>
    <x:cfRule type="expression" dxfId="81" priority="80">
      <x:formula>$BH$55=2</x:formula>
    </x:cfRule>
    <x:cfRule type="expression" dxfId="82" priority="81">
      <x:formula>$BH$55=3</x:formula>
    </x:cfRule>
    <x:cfRule type="expression" dxfId="83" priority="82">
      <x:formula>$BH$55=4</x:formula>
    </x:cfRule>
    <x:cfRule type="expression" dxfId="84" priority="83">
      <x:formula>$BH$55=5</x:formula>
    </x:cfRule>
    <x:cfRule type="expression" dxfId="85" priority="84">
      <x:formula>$BH$55=6</x:formula>
    </x:cfRule>
  </x:conditionalFormatting>
  <x:dataValidations count="1">
    <x:dataValidation type="whole" errorStyle="stop" operator="between" allowBlank="0" showErrorMessage="1" errorTitle="播放帧超出范围" error="请输入 0–240 的整数。" sqref="BL9">
      <x:formula1>0</x:formula1>
      <x:formula2>240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7" hidden="0" customWidth="1"/>
    <x:col min="3" max="3" width="69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</x:cols>
  <x:sheetData>
    <x:row r="1" ht="21" customHeight="1">
      <x:c r="A1" s="8" t="str">
        <x:v>RACE CONTROL  /  比赛参数</x:v>
      </x:c>
      <x:c r="B1" s="6"/>
      <x:c r="C1" s="6"/>
      <x:c r="D1" s="6"/>
      <x:c r="E1" s="6"/>
      <x:c r="F1" s="6"/>
      <x:c r="G1" s="6"/>
      <x:c r="H1" s="6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 ht="21" customHeight="1">
      <x:c r="A2" s="6"/>
      <x:c r="B2" s="6"/>
      <x:c r="C2" s="6"/>
      <x:c r="D2" s="6"/>
      <x:c r="E2" s="6"/>
      <x:c r="F2" s="6"/>
      <x:c r="G2" s="6"/>
      <x:c r="H2" s="6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1" customHeight="1">
      <x:c r="A3" s="10" t="str">
        <x:v>蓝色单元格可编辑；当前帧在 RaceTrack!BL9。参数从第 4 行开始。</x:v>
      </x:c>
      <x:c r="B3" s="6"/>
      <x:c r="C3" s="6"/>
      <x:c r="D3" s="6"/>
      <x:c r="E3" s="6"/>
      <x:c r="F3" s="6"/>
      <x:c r="G3" s="6"/>
      <x:c r="H3" s="6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 ht="29" customHeight="1">
      <x:c r="A4" s="14" t="str">
        <x:v>当前播放帧</x:v>
      </x:c>
      <x:c r="B4" s="26" t="n">
        <x:f>IFERROR(MIN($B$8,MAX(0,INT(RaceTrack!$BL$9))),0)</x:f>
        <x:v>119</x:v>
      </x:c>
      <x:c r="C4" s="14" t="str">
        <x:v>读取 RaceTrack!BL9；超出范围会自动限制为 0–240。</x:v>
      </x:c>
      <x:c r="D4" s="12"/>
      <x:c r="E4" s="12"/>
      <x:c r="F4" s="12"/>
      <x:c r="G4" s="12"/>
      <x:c r="H4" s="12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5" ht="29" customHeight="1">
      <x:c r="A5" s="15" t="str">
        <x:v>每帧模拟秒数</x:v>
      </x:c>
      <x:c r="B5" s="20" t="n">
        <x:v>0.25</x:v>
      </x:c>
      <x:c r="C5" s="15" t="str">
        <x:v>虚拟比赛时间；不是 Excel 刷新率。</x:v>
      </x:c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</x:row>
    <x:row r="6" ht="29" customHeight="1">
      <x:c r="A6" s="15" t="str">
        <x:v>比赛圈数</x:v>
      </x:c>
      <x:c r="B6" s="20" t="n">
        <x:v>5</x:v>
      </x:c>
      <x:c r="C6" s="15" t="str">
        <x:v>可输入 1–6；较慢车辆可能在 240 帧内尚未完赛。</x:v>
      </x:c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</x:row>
    <x:row r="7" ht="29" customHeight="1">
      <x:c r="A7" s="15" t="str">
        <x:v>每圈格数</x:v>
      </x:c>
      <x:c r="B7" s="26" t="n">
        <x:f>ROWS(TrackMap!$A$8:$A$141)</x:f>
        <x:v>134</x:v>
      </x:c>
      <x:c r="C7" s="15" t="str">
        <x:v>固定由 TrackMap 的 134 个节点计算。</x:v>
      </x:c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</x:row>
    <x:row r="8" ht="29" customHeight="1">
      <x:c r="A8" s="15" t="str">
        <x:v>最后一帧</x:v>
      </x:c>
      <x:c r="B8" s="26" t="n">
        <x:v>240</x:v>
      </x:c>
      <x:c r="C8" s="15" t="str">
        <x:v>本文件已生成 0–240 帧；不要增加这一上限。</x:v>
      </x:c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</x:row>
    <x:row r="9" ht="29" customHeight="1">
      <x:c r="A9" s="15" t="str">
        <x:v>自动播放步长</x:v>
      </x:c>
      <x:c r="B9" s="20" t="n">
        <x:v>4</x:v>
      </x:c>
      <x:c r="C9" s="15" t="str">
        <x:v>VBA 每次刷新推进的帧数。</x:v>
      </x:c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</x:row>
    <x:row r="10" ht="29" customHeight="1">
      <x:c r="A10" s="15" t="str">
        <x:v>自动播放间隔 / 秒</x:v>
      </x:c>
      <x:c r="B10" s="20" t="n">
        <x:v>1</x:v>
      </x:c>
      <x:c r="C10" s="15" t="str">
        <x:v>VBA OnTime 最短采用 1 秒；非高帧率游戏。</x:v>
      </x:c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</x:row>
    <x:row r="11" ht="29" customHeight="1">
      <x:c r="A11" s="15" t="str">
        <x:v>加速周期 / 帧</x:v>
      </x:c>
      <x:c r="B11" s="20" t="n">
        <x:v>31</x:v>
      </x:c>
      <x:c r="C11" s="15" t="str">
        <x:v>车手相位不同，会形成不同的加速时段。</x:v>
      </x:c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</x:row>
    <x:row r="12" ht="29" customHeight="1">
      <x:c r="A12" s="15" t="str">
        <x:v>加速倍率</x:v>
      </x:c>
      <x:c r="B12" s="20" t="n">
        <x:v>1.35</x:v>
      </x:c>
      <x:c r="C12" s="15" t="str">
        <x:v>BOOST 状态下的步长倍数。</x:v>
      </x:c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  <x:c r="Q12" s="3"/>
      <x:c r="R12" s="3"/>
    </x:row>
    <x:row r="13" ht="29" customHeight="1">
      <x:c r="A13" s="15" t="str">
        <x:v>加速持续 / 帧</x:v>
      </x:c>
      <x:c r="B13" s="20" t="n">
        <x:v>5</x:v>
      </x:c>
      <x:c r="C13" s="15" t="str">
        <x:v>每个周期内的 BOOST 帧数。</x:v>
      </x:c>
      <x:c r="D13" s="3"/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  <x:c r="Q13" s="3"/>
      <x:c r="R13" s="3"/>
    </x:row>
    <x:row r="14" ht="29" customHeight="1">
      <x:c r="A14" s="15" t="str">
        <x:v>速度波动频率</x:v>
      </x:c>
      <x:c r="B14" s="20" t="n">
        <x:v>0.37</x:v>
      </x:c>
      <x:c r="C14" s="15" t="str">
        <x:v>正弦波模拟车辆速度变化。</x:v>
      </x:c>
      <x:c r="D14" s="3"/>
      <x:c r="E14" s="3"/>
      <x:c r="F14" s="3"/>
      <x:c r="G14" s="3"/>
      <x:c r="H14" s="3"/>
      <x:c r="I14" s="3"/>
      <x:c r="J14" s="3"/>
      <x:c r="K14" s="3"/>
      <x:c r="L14" s="3"/>
      <x:c r="M14" s="3"/>
      <x:c r="N14" s="3"/>
      <x:c r="O14" s="3"/>
      <x:c r="P14" s="3"/>
      <x:c r="Q14" s="3"/>
      <x:c r="R14" s="3"/>
    </x:row>
    <x:row r="15" ht="29" customHeight="1">
      <x:c r="A15" s="15" t="str">
        <x:v>最小前進 / 格</x:v>
      </x:c>
      <x:c r="B15" s="20" t="n">
        <x:v>0.4</x:v>
      </x:c>
      <x:c r="C15" s="15" t="str">
        <x:v>排除停车/完赛状态后的步长下限。</x:v>
      </x:c>
      <x:c r="D15" s="3"/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  <x:c r="Q15" s="3"/>
      <x:c r="R15" s="3"/>
    </x:row>
    <x:row r="16" ht="29" customHeight="1">
      <x:c r="A16" s="15" t="str">
        <x:v>赛况种子</x:v>
      </x:c>
      <x:c r="B16" s="20" t="n">
        <x:v>11</x:v>
      </x:c>
      <x:c r="C16" s="15" t="str">
        <x:v>改变种子即可得到另一组可复现赛况。</x:v>
      </x:c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  <x:c r="R16" s="3"/>
    </x:row>
    <x:row r="17" ht="29" customHeight="1">
      <x:c r="A17" s="15" t="str">
        <x:v>比赛总距离 / 格</x:v>
      </x:c>
      <x:c r="B17" s="26" t="n">
        <x:f>B6*B7</x:f>
        <x:v>670</x:v>
      </x:c>
      <x:c r="C17" s="15" t="str">
        <x:v>圈数 × 每圈格数。</x:v>
      </x:c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/>
      <x:c r="R17" s="3"/>
    </x:row>
    <x:row r="18" ht="29" customHeight="1">
      <x:c r="A18" s="15" t="str">
        <x:v>车辆数量</x:v>
      </x:c>
      <x:c r="B18" s="26" t="n">
        <x:f>ROWS(Drivers!$A$8:$A$13)</x:f>
        <x:v>6</x:v>
      </x:c>
      <x:c r="C18" s="15" t="str">
        <x:v>由 Drivers 的 6 条记录计算。</x:v>
      </x:c>
      <x:c r="D18" s="3"/>
      <x:c r="E18" s="3"/>
      <x:c r="F18" s="3"/>
      <x:c r="G18" s="3"/>
      <x:c r="H18" s="3"/>
      <x:c r="I18" s="3"/>
      <x:c r="J18" s="3"/>
      <x:c r="K18" s="3"/>
      <x:c r="L18" s="3"/>
      <x:c r="M18" s="3"/>
      <x:c r="N18" s="3"/>
      <x:c r="O18" s="3"/>
      <x:c r="P18" s="3"/>
      <x:c r="Q18" s="3"/>
      <x:c r="R18" s="3"/>
    </x:row>
    <x:row r="19" ht="21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3"/>
      <x:c r="Q19" s="3"/>
      <x:c r="R19" s="3"/>
    </x:row>
    <x:row r="20" ht="21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  <x:c r="N20" s="3"/>
      <x:c r="O20" s="3"/>
      <x:c r="P20" s="3"/>
      <x:c r="Q20" s="3"/>
      <x:c r="R20" s="3"/>
    </x:row>
    <x:row r="21" ht="21" customHeight="1">
      <x:c r="A21" s="32" t="str">
        <x:v>这是可复现的演示比赛，不是实车遥测，也不是 FMWC 官方题目文件。</x:v>
      </x:c>
      <x:c r="B21" s="32"/>
      <x:c r="C21" s="32"/>
      <x:c r="D21" s="32"/>
      <x:c r="E21" s="32"/>
      <x:c r="F21" s="32"/>
      <x:c r="G21" s="32"/>
      <x:c r="H21" s="32"/>
      <x:c r="I21" s="3"/>
      <x:c r="J21" s="3"/>
      <x:c r="K21" s="3"/>
      <x:c r="L21" s="3"/>
      <x:c r="M21" s="3"/>
      <x:c r="N21" s="3"/>
      <x:c r="O21" s="3"/>
      <x:c r="P21" s="3"/>
      <x:c r="Q21" s="3"/>
      <x:c r="R21" s="3"/>
    </x:row>
    <x:row r="22" ht="21" customHeight="1">
      <x:c r="A22" s="32"/>
      <x:c r="B22" s="32"/>
      <x:c r="C22" s="32"/>
      <x:c r="D22" s="32"/>
      <x:c r="E22" s="32"/>
      <x:c r="F22" s="32"/>
      <x:c r="G22" s="32"/>
      <x:c r="H22" s="32"/>
      <x:c r="I22" s="3"/>
      <x:c r="J22" s="3"/>
      <x:c r="K22" s="3"/>
      <x:c r="L22" s="3"/>
      <x:c r="M22" s="3"/>
      <x:c r="N22" s="3"/>
      <x:c r="O22" s="3"/>
      <x:c r="P22" s="3"/>
      <x:c r="Q22" s="3"/>
      <x:c r="R22" s="3"/>
    </x:row>
    <x:row r="23" ht="21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  <x:c r="N23" s="3"/>
      <x:c r="O23" s="3"/>
      <x:c r="P23" s="3"/>
      <x:c r="Q23" s="3"/>
      <x:c r="R23" s="3"/>
    </x:row>
    <x:row r="24" ht="21" customHeight="1">
      <x:c r="A24" s="15" t="str">
        <x:v>参数约束：速度与波动幅度应为非负数；加速周期必须大于 0；加速持续时间不应大于周期；开始停车帧为 0–240，车道仅 1 或 2。位置索引、车号、坐标映射为结构字段，不建议直接改动。</x:v>
      </x:c>
      <x:c r="B24" s="15"/>
      <x:c r="C24" s="15"/>
      <x:c r="D24" s="15"/>
      <x:c r="E24" s="15"/>
      <x:c r="F24" s="15"/>
      <x:c r="G24" s="15"/>
      <x:c r="H24" s="15"/>
      <x:c r="I24" s="3"/>
      <x:c r="J24" s="3"/>
      <x:c r="K24" s="3"/>
      <x:c r="L24" s="3"/>
      <x:c r="M24" s="3"/>
      <x:c r="N24" s="3"/>
      <x:c r="O24" s="3"/>
      <x:c r="P24" s="3"/>
      <x:c r="Q24" s="3"/>
      <x:c r="R24" s="3"/>
    </x:row>
    <x:row r="25" ht="21" customHeight="1">
      <x:c r="A25" s="15"/>
      <x:c r="B25" s="15"/>
      <x:c r="C25" s="15"/>
      <x:c r="D25" s="15"/>
      <x:c r="E25" s="15"/>
      <x:c r="F25" s="15"/>
      <x:c r="G25" s="15"/>
      <x:c r="H25" s="15"/>
      <x:c r="I25" s="3"/>
      <x:c r="J25" s="3"/>
      <x:c r="K25" s="3"/>
      <x:c r="L25" s="3"/>
      <x:c r="M25" s="3"/>
      <x:c r="N25" s="3"/>
      <x:c r="O25" s="3"/>
      <x:c r="P25" s="3"/>
      <x:c r="Q25" s="3"/>
      <x:c r="R25" s="3"/>
    </x:row>
    <x:row r="26" ht="21" customHeight="1">
      <x:c r="A26" s="15"/>
      <x:c r="B26" s="15"/>
      <x:c r="C26" s="15"/>
      <x:c r="D26" s="15"/>
      <x:c r="E26" s="15"/>
      <x:c r="F26" s="15"/>
      <x:c r="G26" s="15"/>
      <x:c r="H26" s="15"/>
      <x:c r="I26" s="3"/>
      <x:c r="J26" s="3"/>
      <x:c r="K26" s="3"/>
      <x:c r="L26" s="3"/>
      <x:c r="M26" s="3"/>
      <x:c r="N26" s="3"/>
      <x:c r="O26" s="3"/>
      <x:c r="P26" s="3"/>
      <x:c r="Q26" s="3"/>
      <x:c r="R26" s="3"/>
    </x:row>
    <x:row r="27" ht="21" customHeight="1">
      <x:c r="A27" s="15"/>
      <x:c r="B27" s="15"/>
      <x:c r="C27" s="15"/>
      <x:c r="D27" s="15"/>
      <x:c r="E27" s="15"/>
      <x:c r="F27" s="15"/>
      <x:c r="G27" s="15"/>
      <x:c r="H27" s="15"/>
      <x:c r="I27" s="3"/>
      <x:c r="J27" s="3"/>
      <x:c r="K27" s="3"/>
      <x:c r="L27" s="3"/>
      <x:c r="M27" s="3"/>
      <x:c r="N27" s="3"/>
      <x:c r="O27" s="3"/>
      <x:c r="P27" s="3"/>
      <x:c r="Q27" s="3"/>
      <x:c r="R27" s="3"/>
    </x:row>
    <x:row r="28" ht="21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  <x:c r="P28" s="3"/>
      <x:c r="Q28" s="3"/>
      <x:c r="R28" s="3"/>
    </x:row>
    <x:row r="29" ht="21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  <x:c r="Q29" s="3"/>
      <x:c r="R29" s="3"/>
    </x:row>
    <x:row r="30" ht="21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  <x:c r="Q30" s="3"/>
      <x:c r="R30" s="3"/>
    </x:row>
    <x:row r="31" ht="21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  <x:c r="Q31" s="3"/>
      <x:c r="R31" s="3"/>
    </x:row>
    <x:row r="32" ht="21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  <x:c r="R32" s="3"/>
    </x:row>
    <x:row r="33" ht="21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  <x:c r="Q33" s="3"/>
      <x:c r="R33" s="3"/>
    </x:row>
    <x:row r="34" ht="21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</x:row>
    <x:row r="35" ht="21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  <x:c r="Q35" s="3"/>
      <x:c r="R35" s="3"/>
    </x:row>
    <x:row r="36" ht="21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  <x:c r="Q36" s="3"/>
      <x:c r="R36" s="3"/>
    </x:row>
    <x:row r="37" ht="21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</x:row>
    <x:row r="38" ht="21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  <x:c r="R38" s="3"/>
    </x:row>
    <x:row r="39" ht="21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  <x:c r="R39" s="3"/>
    </x:row>
    <x:row r="40" ht="21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  <x:c r="R40" s="3"/>
    </x:row>
    <x:row r="41" ht="21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  <x:c r="R41" s="3"/>
    </x:row>
    <x:row r="42" ht="21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</x:row>
    <x:row r="43" ht="21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  <x:c r="R43" s="3"/>
    </x:row>
    <x:row r="44" ht="21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  <x:c r="R44" s="3"/>
    </x:row>
    <x:row r="45" ht="21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</x:row>
    <x:row r="46" ht="21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</x:row>
    <x:row r="47" ht="21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</x:row>
    <x:row r="48" ht="21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</x:row>
    <x:row r="49" ht="21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</x:row>
    <x:row r="50" ht="21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</x:row>
    <x:row r="51" ht="21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</x:row>
    <x:row r="52" ht="21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  <x:c r="Q52" s="3"/>
      <x:c r="R52" s="3"/>
    </x:row>
    <x:row r="53" ht="21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  <x:c r="Q53" s="3"/>
      <x:c r="R53" s="3"/>
    </x:row>
    <x:row r="54" ht="21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  <x:c r="Q54" s="3"/>
      <x:c r="R54" s="3"/>
    </x:row>
    <x:row r="55" ht="21" customHeight="1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  <x:c r="Q55" s="3"/>
      <x:c r="R55" s="3"/>
    </x:row>
    <x:row r="56" ht="21" customHeight="1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  <x:c r="Q56" s="3"/>
      <x:c r="R56" s="3"/>
    </x:row>
    <x:row r="57" ht="21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  <x:c r="Q57" s="3"/>
      <x:c r="R57" s="3"/>
    </x:row>
    <x:row r="58" ht="21" customHeight="1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3"/>
      <x:c r="Q58" s="3"/>
      <x:c r="R58" s="3"/>
    </x:row>
    <x:row r="59" ht="21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  <x:c r="Q59" s="3"/>
      <x:c r="R59" s="3"/>
    </x:row>
    <x:row r="60" ht="21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  <x:c r="R60" s="3"/>
    </x:row>
  </x:sheetData>
  <x:mergeCells>
    <x:mergeCell ref="A1:H2"/>
    <x:mergeCell ref="A3:H3"/>
    <x:mergeCell ref="A21:H22"/>
    <x:mergeCell ref="A24:H27"/>
  </x:mergeCells>
  <x:dataValidations count="6">
    <x:dataValidation type="list" sqref="B6">
      <x:formula1>"1,2,3,4,5,6"</x:formula1>
    </x:dataValidation>
    <x:dataValidation type="list" sqref="B9">
      <x:formula1>"1,2,4,6,8"</x:formula1>
    </x:dataValidation>
    <x:dataValidation type="list" sqref="B10">
      <x:formula1>"1,2,3"</x:formula1>
    </x:dataValidation>
    <x:dataValidation type="whole" operator="between" sqref="B11">
      <x:formula1>1</x:formula1>
      <x:formula2>240</x:formula2>
    </x:dataValidation>
    <x:dataValidation type="whole" operator="between" sqref="B13">
      <x:formula1>0</x:formula1>
      <x:formula2>$B$11</x:formula2>
    </x:dataValidation>
    <x:dataValidation type="decimal" operator="between" sqref="B12">
      <x:formula1>1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24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</x:cols>
  <x:sheetData>
    <x:row r="1" ht="21" customHeight="1">
      <x:c r="A1" s="8" t="str">
        <x:v>DRIVER GARAGE  /  车手与车辆</x:v>
      </x:c>
      <x:c r="B1" s="6"/>
      <x:c r="C1" s="6"/>
      <x:c r="D1" s="6"/>
      <x:c r="E1" s="6"/>
      <x:c r="F1" s="6"/>
      <x:c r="G1" s="6"/>
      <x:c r="H1" s="6"/>
      <x:c r="I1" s="6"/>
      <x:c r="J1" s="6"/>
      <x:c r="K1" s="3"/>
      <x:c r="L1" s="3"/>
      <x:c r="M1" s="3"/>
      <x:c r="N1" s="3"/>
      <x:c r="O1" s="3"/>
      <x:c r="P1" s="3"/>
      <x:c r="Q1" s="3"/>
      <x:c r="R1" s="3"/>
    </x:row>
    <x:row r="2" ht="21" customHeight="1">
      <x:c r="A2" s="6"/>
      <x:c r="B2" s="6"/>
      <x:c r="C2" s="6"/>
      <x:c r="D2" s="6"/>
      <x:c r="E2" s="6"/>
      <x:c r="F2" s="6"/>
      <x:c r="G2" s="6"/>
      <x:c r="H2" s="6"/>
      <x:c r="I2" s="6"/>
      <x:c r="J2" s="6"/>
      <x:c r="K2" s="3"/>
      <x:c r="L2" s="3"/>
      <x:c r="M2" s="3"/>
      <x:c r="N2" s="3"/>
      <x:c r="O2" s="3"/>
      <x:c r="P2" s="3"/>
      <x:c r="Q2" s="3"/>
      <x:c r="R2" s="3"/>
    </x:row>
    <x:row r="3" ht="21" customHeight="1">
      <x:c r="A3" s="10" t="str">
        <x:v>6 位虚构车手 · 蓝色字段可改 · 修改后整场逐帧记录由公式重算。</x:v>
      </x:c>
      <x:c r="B3" s="6"/>
      <x:c r="C3" s="6"/>
      <x:c r="D3" s="6"/>
      <x:c r="E3" s="6"/>
      <x:c r="F3" s="6"/>
      <x:c r="G3" s="6"/>
      <x:c r="H3" s="6"/>
      <x:c r="I3" s="6"/>
      <x:c r="J3" s="6"/>
      <x:c r="K3" s="3"/>
      <x:c r="L3" s="3"/>
      <x:c r="M3" s="3"/>
      <x:c r="N3" s="3"/>
      <x:c r="O3" s="3"/>
      <x:c r="P3" s="3"/>
      <x:c r="Q3" s="3"/>
      <x:c r="R3" s="3"/>
    </x:row>
    <x:row r="4" ht="21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3"/>
      <x:c r="L4" s="3"/>
      <x:c r="M4" s="3"/>
      <x:c r="N4" s="3"/>
      <x:c r="O4" s="3"/>
      <x:c r="P4" s="3"/>
      <x:c r="Q4" s="3"/>
      <x:c r="R4" s="3"/>
    </x:row>
    <x:row r="5" ht="21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</x:row>
    <x:row r="6" ht="21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</x:row>
    <x:row r="7" ht="32" customHeight="1">
      <x:c r="A7" s="38" t="str">
        <x:v>车号</x:v>
      </x:c>
      <x:c r="B7" s="38" t="str">
        <x:v>车手</x:v>
      </x:c>
      <x:c r="C7" s="38" t="str">
        <x:v>车队</x:v>
      </x:c>
      <x:c r="D7" s="38" t="str">
        <x:v>基础步长/格</x:v>
      </x:c>
      <x:c r="E7" s="38" t="str">
        <x:v>波动幅度/格</x:v>
      </x:c>
      <x:c r="F7" s="38" t="str">
        <x:v>加速相位</x:v>
      </x:c>
      <x:c r="G7" s="38" t="str">
        <x:v>停车开始帧</x:v>
      </x:c>
      <x:c r="H7" s="38" t="str">
        <x:v>车道</x:v>
      </x:c>
      <x:c r="I7" s="38" t="str">
        <x:v>发车偏移/格</x:v>
      </x:c>
      <x:c r="J7" s="38" t="str">
        <x:v>停车时长/帧</x:v>
      </x:c>
      <x:c r="K7" s="3"/>
      <x:c r="L7" s="3"/>
      <x:c r="M7" s="3"/>
      <x:c r="N7" s="3"/>
      <x:c r="O7" s="3"/>
      <x:c r="P7" s="3"/>
      <x:c r="Q7" s="3"/>
      <x:c r="R7" s="3"/>
    </x:row>
    <x:row r="8" ht="28" customHeight="1">
      <x:c r="A8" s="48" t="n">
        <x:v>1</x:v>
      </x:c>
      <x:c r="B8" s="43" t="str">
        <x:v>赤焰</x:v>
      </x:c>
      <x:c r="C8" s="43" t="str">
        <x:v>REDLINE</x:v>
      </x:c>
      <x:c r="D8" s="60" t="n">
        <x:v>3.65</x:v>
      </x:c>
      <x:c r="E8" s="60" t="n">
        <x:v>0.55</x:v>
      </x:c>
      <x:c r="F8" s="43" t="n">
        <x:v>3</x:v>
      </x:c>
      <x:c r="G8" s="43" t="n">
        <x:v>95</x:v>
      </x:c>
      <x:c r="H8" s="43" t="n">
        <x:v>1</x:v>
      </x:c>
      <x:c r="I8" s="43" t="n">
        <x:v>0</x:v>
      </x:c>
      <x:c r="J8" s="43" t="n">
        <x:v>4</x:v>
      </x:c>
      <x:c r="K8" s="3"/>
      <x:c r="L8" s="3"/>
      <x:c r="M8" s="3"/>
      <x:c r="N8" s="3"/>
      <x:c r="O8" s="3"/>
      <x:c r="P8" s="3"/>
      <x:c r="Q8" s="3"/>
      <x:c r="R8" s="3"/>
    </x:row>
    <x:row r="9" ht="28" customHeight="1">
      <x:c r="A9" s="50" t="n">
        <x:v>2</x:v>
      </x:c>
      <x:c r="B9" s="43" t="str">
        <x:v>蓝电</x:v>
      </x:c>
      <x:c r="C9" s="43" t="str">
        <x:v>APEX</x:v>
      </x:c>
      <x:c r="D9" s="60" t="n">
        <x:v>3.58</x:v>
      </x:c>
      <x:c r="E9" s="60" t="n">
        <x:v>0.6</x:v>
      </x:c>
      <x:c r="F9" s="43" t="n">
        <x:v>10</x:v>
      </x:c>
      <x:c r="G9" s="43" t="n">
        <x:v>115</x:v>
      </x:c>
      <x:c r="H9" s="43" t="n">
        <x:v>2</x:v>
      </x:c>
      <x:c r="I9" s="43" t="n">
        <x:v>-2</x:v>
      </x:c>
      <x:c r="J9" s="43" t="n">
        <x:v>4</x:v>
      </x:c>
      <x:c r="K9" s="3"/>
      <x:c r="L9" s="3"/>
      <x:c r="M9" s="3"/>
      <x:c r="N9" s="3"/>
      <x:c r="O9" s="3"/>
      <x:c r="P9" s="3"/>
      <x:c r="Q9" s="3"/>
      <x:c r="R9" s="3"/>
    </x:row>
    <x:row r="10" ht="28" customHeight="1">
      <x:c r="A10" s="52" t="n">
        <x:v>3</x:v>
      </x:c>
      <x:c r="B10" s="43" t="str">
        <x:v>金翼</x:v>
      </x:c>
      <x:c r="C10" s="43" t="str">
        <x:v>VELOCITY</x:v>
      </x:c>
      <x:c r="D10" s="60" t="n">
        <x:v>3.7</x:v>
      </x:c>
      <x:c r="E10" s="60" t="n">
        <x:v>0.5</x:v>
      </x:c>
      <x:c r="F10" s="43" t="n">
        <x:v>17</x:v>
      </x:c>
      <x:c r="G10" s="43" t="n">
        <x:v>125</x:v>
      </x:c>
      <x:c r="H10" s="43" t="n">
        <x:v>1</x:v>
      </x:c>
      <x:c r="I10" s="43" t="n">
        <x:v>-4</x:v>
      </x:c>
      <x:c r="J10" s="43" t="n">
        <x:v>5</x:v>
      </x:c>
      <x:c r="K10" s="3"/>
      <x:c r="L10" s="3"/>
      <x:c r="M10" s="3"/>
      <x:c r="N10" s="3"/>
      <x:c r="O10" s="3"/>
      <x:c r="P10" s="3"/>
      <x:c r="Q10" s="3"/>
      <x:c r="R10" s="3"/>
    </x:row>
    <x:row r="11" ht="28" customHeight="1">
      <x:c r="A11" s="54" t="n">
        <x:v>4</x:v>
      </x:c>
      <x:c r="B11" s="43" t="str">
        <x:v>紫影</x:v>
      </x:c>
      <x:c r="C11" s="43" t="str">
        <x:v>NOVA</x:v>
      </x:c>
      <x:c r="D11" s="60" t="n">
        <x:v>3.6</x:v>
      </x:c>
      <x:c r="E11" s="60" t="n">
        <x:v>0.58</x:v>
      </x:c>
      <x:c r="F11" s="43" t="n">
        <x:v>24</x:v>
      </x:c>
      <x:c r="G11" s="43" t="n">
        <x:v>105</x:v>
      </x:c>
      <x:c r="H11" s="43" t="n">
        <x:v>2</x:v>
      </x:c>
      <x:c r="I11" s="43" t="n">
        <x:v>-6</x:v>
      </x:c>
      <x:c r="J11" s="43" t="n">
        <x:v>4</x:v>
      </x:c>
      <x:c r="K11" s="3"/>
      <x:c r="L11" s="3"/>
      <x:c r="M11" s="3"/>
      <x:c r="N11" s="3"/>
      <x:c r="O11" s="3"/>
      <x:c r="P11" s="3"/>
      <x:c r="Q11" s="3"/>
      <x:c r="R11" s="3"/>
    </x:row>
    <x:row r="12" ht="28" customHeight="1">
      <x:c r="A12" s="56" t="n">
        <x:v>5</x:v>
      </x:c>
      <x:c r="B12" s="43" t="str">
        <x:v>青锋</x:v>
      </x:c>
      <x:c r="C12" s="43" t="str">
        <x:v>VECTOR</x:v>
      </x:c>
      <x:c r="D12" s="60" t="n">
        <x:v>3.63</x:v>
      </x:c>
      <x:c r="E12" s="60" t="n">
        <x:v>0.52</x:v>
      </x:c>
      <x:c r="F12" s="43" t="n">
        <x:v>7</x:v>
      </x:c>
      <x:c r="G12" s="43" t="n">
        <x:v>135</x:v>
      </x:c>
      <x:c r="H12" s="43" t="n">
        <x:v>1</x:v>
      </x:c>
      <x:c r="I12" s="43" t="n">
        <x:v>-8</x:v>
      </x:c>
      <x:c r="J12" s="43" t="n">
        <x:v>3</x:v>
      </x:c>
      <x:c r="K12" s="3"/>
      <x:c r="L12" s="3"/>
      <x:c r="M12" s="3"/>
      <x:c r="N12" s="3"/>
      <x:c r="O12" s="3"/>
      <x:c r="P12" s="3"/>
      <x:c r="Q12" s="3"/>
      <x:c r="R12" s="3"/>
    </x:row>
    <x:row r="13" ht="28" customHeight="1">
      <x:c r="A13" s="58" t="n">
        <x:v>6</x:v>
      </x:c>
      <x:c r="B13" s="43" t="str">
        <x:v>玫速</x:v>
      </x:c>
      <x:c r="C13" s="43" t="str">
        <x:v>PULSE</x:v>
      </x:c>
      <x:c r="D13" s="60" t="n">
        <x:v>3.68</x:v>
      </x:c>
      <x:c r="E13" s="60" t="n">
        <x:v>0.6</x:v>
      </x:c>
      <x:c r="F13" s="43" t="n">
        <x:v>14</x:v>
      </x:c>
      <x:c r="G13" s="43" t="n">
        <x:v>145</x:v>
      </x:c>
      <x:c r="H13" s="43" t="n">
        <x:v>2</x:v>
      </x:c>
      <x:c r="I13" s="43" t="n">
        <x:v>-10</x:v>
      </x:c>
      <x:c r="J13" s="43" t="n">
        <x:v>4</x:v>
      </x:c>
      <x:c r="K13" s="3"/>
      <x:c r="L13" s="3"/>
      <x:c r="M13" s="3"/>
      <x:c r="N13" s="3"/>
      <x:c r="O13" s="3"/>
      <x:c r="P13" s="3"/>
      <x:c r="Q13" s="3"/>
      <x:c r="R13" s="3"/>
    </x:row>
    <x:row r="14" ht="21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  <x:c r="M14" s="3"/>
      <x:c r="N14" s="3"/>
      <x:c r="O14" s="3"/>
      <x:c r="P14" s="3"/>
      <x:c r="Q14" s="3"/>
      <x:c r="R14" s="3"/>
    </x:row>
    <x:row r="15" ht="21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  <x:c r="Q15" s="3"/>
      <x:c r="R15" s="3"/>
    </x:row>
    <x:row r="16" ht="21" customHeight="1">
      <x:c r="A16" s="63" t="str">
        <x:v>车辆以彩色方向符号＋车号显示。1/3/5 号默认走车道 1，2/4/6 号走车道 2；同格同车道时合并显示车号，如 13 代表 1 号和 3 号。PIT 为赛道原位暂停的简化维修事件，没有额外进站路径。</x:v>
      </x:c>
      <x:c r="B16" s="63"/>
      <x:c r="C16" s="63"/>
      <x:c r="D16" s="63"/>
      <x:c r="E16" s="63"/>
      <x:c r="F16" s="63"/>
      <x:c r="G16" s="63"/>
      <x:c r="H16" s="63"/>
      <x:c r="I16" s="63"/>
      <x:c r="J16" s="63"/>
      <x:c r="K16" s="3"/>
      <x:c r="L16" s="3"/>
      <x:c r="M16" s="3"/>
      <x:c r="N16" s="3"/>
      <x:c r="O16" s="3"/>
      <x:c r="P16" s="3"/>
      <x:c r="Q16" s="3"/>
      <x:c r="R16" s="3"/>
    </x:row>
    <x:row r="17" ht="21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3"/>
      <x:c r="L17" s="3"/>
      <x:c r="M17" s="3"/>
      <x:c r="N17" s="3"/>
      <x:c r="O17" s="3"/>
      <x:c r="P17" s="3"/>
      <x:c r="Q17" s="3"/>
      <x:c r="R17" s="3"/>
    </x:row>
    <x:row r="18" ht="21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3"/>
      <x:c r="L18" s="3"/>
      <x:c r="M18" s="3"/>
      <x:c r="N18" s="3"/>
      <x:c r="O18" s="3"/>
      <x:c r="P18" s="3"/>
      <x:c r="Q18" s="3"/>
      <x:c r="R18" s="3"/>
    </x:row>
    <x:row r="19" ht="21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3"/>
      <x:c r="Q19" s="3"/>
      <x:c r="R19" s="3"/>
    </x:row>
    <x:row r="20" ht="21" customHeight="1">
      <x:c r="A20" s="15" t="str">
        <x:v>事件</x:v>
      </x:c>
      <x:c r="B20" s="15" t="str">
        <x:v>含义</x:v>
      </x:c>
      <x:c r="C20" s="15" t="str">
        <x:v>计算方式</x:v>
      </x:c>
      <x:c r="D20" s="3"/>
      <x:c r="E20" s="3"/>
      <x:c r="F20" s="3"/>
      <x:c r="G20" s="3"/>
      <x:c r="H20" s="3"/>
      <x:c r="I20" s="3"/>
      <x:c r="J20" s="3"/>
      <x:c r="K20" s="3"/>
      <x:c r="L20" s="3"/>
      <x:c r="M20" s="3"/>
      <x:c r="N20" s="3"/>
      <x:c r="O20" s="3"/>
      <x:c r="P20" s="3"/>
      <x:c r="Q20" s="3"/>
      <x:c r="R20" s="3"/>
    </x:row>
    <x:row r="21" ht="38" customHeight="1">
      <x:c r="A21" s="15" t="str">
        <x:v>GRID</x:v>
      </x:c>
      <x:c r="B21" s="15" t="str">
        <x:v>发车静止</x:v>
      </x:c>
      <x:c r="C21" s="15" t="str">
        <x:v>第 0 帧</x:v>
      </x:c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  <x:c r="P21" s="3"/>
      <x:c r="Q21" s="3"/>
      <x:c r="R21" s="3"/>
    </x:row>
    <x:row r="22" ht="38" customHeight="1">
      <x:c r="A22" s="15" t="str">
        <x:v>RACE</x:v>
      </x:c>
      <x:c r="B22" s="15" t="str">
        <x:v>正常行驶</x:v>
      </x:c>
      <x:c r="C22" s="15" t="str">
        <x:v>基础速度 + 正弦波动，再乘弯道系数</x:v>
      </x:c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  <x:c r="P22" s="3"/>
      <x:c r="Q22" s="3"/>
      <x:c r="R22" s="3"/>
    </x:row>
    <x:row r="23" ht="38" customHeight="1">
      <x:c r="A23" s="15" t="str">
        <x:v>BOOST</x:v>
      </x:c>
      <x:c r="B23" s="15" t="str">
        <x:v>周期加速</x:v>
      </x:c>
      <x:c r="C23" s="15" t="str">
        <x:v>正常步长 × 加速倍率</x:v>
      </x:c>
      <x:c r="D23" s="3"/>
      <x:c r="E23" s="3"/>
      <x:c r="F23" s="3"/>
      <x:c r="G23" s="3"/>
      <x:c r="H23" s="3"/>
      <x:c r="I23" s="3"/>
      <x:c r="J23" s="3"/>
      <x:c r="K23" s="3"/>
      <x:c r="L23" s="3"/>
      <x:c r="M23" s="3"/>
      <x:c r="N23" s="3"/>
      <x:c r="O23" s="3"/>
      <x:c r="P23" s="3"/>
      <x:c r="Q23" s="3"/>
      <x:c r="R23" s="3"/>
    </x:row>
    <x:row r="24" ht="38" customHeight="1">
      <x:c r="A24" s="15" t="str">
        <x:v>PIT</x:v>
      </x:c>
      <x:c r="B24" s="15" t="str">
        <x:v>原位维修</x:v>
      </x:c>
      <x:c r="C24" s="15" t="str">
        <x:v>在配置时间段暂停前进</x:v>
      </x:c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3"/>
      <x:c r="R24" s="3"/>
    </x:row>
    <x:row r="25" ht="38" customHeight="1">
      <x:c r="A25" s="15" t="str">
        <x:v>FINISHED</x:v>
      </x:c>
      <x:c r="B25" s="15" t="str">
        <x:v>已经完赛</x:v>
      </x:c>
      <x:c r="C25" s="15" t="str">
        <x:v>总路程封顶；排名保留首次冲线顺序</x:v>
      </x:c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3"/>
      <x:c r="Q25" s="3"/>
      <x:c r="R25" s="3"/>
    </x:row>
    <x:row r="26" ht="38" customHeight="1">
      <x:c r="A26" s="15" t="str">
        <x:v>同帧冲线</x:v>
      </x:c>
      <x:c r="B26" s="15" t="str">
        <x:v>并列的确定规则</x:v>
      </x:c>
      <x:c r="C26" s="15" t="str">
        <x:v>同一帧到达终点时，车号小者排前</x:v>
      </x:c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  <x:c r="P26" s="3"/>
      <x:c r="Q26" s="3"/>
      <x:c r="R26" s="3"/>
    </x:row>
    <x:row r="27" ht="21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  <x:c r="P27" s="3"/>
      <x:c r="Q27" s="3"/>
      <x:c r="R27" s="3"/>
    </x:row>
    <x:row r="28" ht="21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  <x:c r="P28" s="3"/>
      <x:c r="Q28" s="3"/>
      <x:c r="R28" s="3"/>
    </x:row>
    <x:row r="29" ht="21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  <x:c r="Q29" s="3"/>
      <x:c r="R29" s="3"/>
    </x:row>
    <x:row r="30" ht="21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  <x:c r="Q30" s="3"/>
      <x:c r="R30" s="3"/>
    </x:row>
    <x:row r="31" ht="21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  <x:c r="Q31" s="3"/>
      <x:c r="R31" s="3"/>
    </x:row>
    <x:row r="32" ht="21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  <x:c r="R32" s="3"/>
    </x:row>
    <x:row r="33" ht="21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  <x:c r="Q33" s="3"/>
      <x:c r="R33" s="3"/>
    </x:row>
    <x:row r="34" ht="21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</x:row>
    <x:row r="35" ht="21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  <x:c r="Q35" s="3"/>
      <x:c r="R35" s="3"/>
    </x:row>
    <x:row r="36" ht="21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  <x:c r="Q36" s="3"/>
      <x:c r="R36" s="3"/>
    </x:row>
    <x:row r="37" ht="21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</x:row>
    <x:row r="38" ht="21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  <x:c r="R38" s="3"/>
    </x:row>
    <x:row r="39" ht="21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  <x:c r="R39" s="3"/>
    </x:row>
    <x:row r="40" ht="21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  <x:c r="R40" s="3"/>
    </x:row>
    <x:row r="41" ht="21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  <x:c r="R41" s="3"/>
    </x:row>
    <x:row r="42" ht="21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</x:row>
    <x:row r="43" ht="21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  <x:c r="R43" s="3"/>
    </x:row>
    <x:row r="44" ht="21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  <x:c r="R44" s="3"/>
    </x:row>
    <x:row r="45" ht="21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</x:row>
    <x:row r="46" ht="21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</x:row>
    <x:row r="47" ht="21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</x:row>
    <x:row r="48" ht="21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</x:row>
    <x:row r="49" ht="21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</x:row>
    <x:row r="50" ht="21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</x:row>
    <x:row r="51" ht="21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</x:row>
    <x:row r="52" ht="21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  <x:c r="Q52" s="3"/>
      <x:c r="R52" s="3"/>
    </x:row>
    <x:row r="53" ht="21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  <x:c r="Q53" s="3"/>
      <x:c r="R53" s="3"/>
    </x:row>
    <x:row r="54" ht="21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  <x:c r="Q54" s="3"/>
      <x:c r="R54" s="3"/>
    </x:row>
    <x:row r="55" ht="21" customHeight="1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  <x:c r="Q55" s="3"/>
      <x:c r="R55" s="3"/>
    </x:row>
    <x:row r="56" ht="21" customHeight="1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  <x:c r="Q56" s="3"/>
      <x:c r="R56" s="3"/>
    </x:row>
    <x:row r="57" ht="21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  <x:c r="Q57" s="3"/>
      <x:c r="R57" s="3"/>
    </x:row>
    <x:row r="58" ht="21" customHeight="1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3"/>
      <x:c r="Q58" s="3"/>
      <x:c r="R58" s="3"/>
    </x:row>
    <x:row r="59" ht="21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  <x:c r="Q59" s="3"/>
      <x:c r="R59" s="3"/>
    </x:row>
    <x:row r="60" ht="21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  <x:c r="R60" s="3"/>
    </x:row>
  </x:sheetData>
  <x:mergeCells>
    <x:mergeCell ref="A1:J2"/>
    <x:mergeCell ref="A3:J4"/>
    <x:mergeCell ref="A16:J18"/>
  </x:mergeCells>
  <x:dataValidations count="4">
    <x:dataValidation type="list" sqref="H8:H13">
      <x:formula1>"1,2"</x:formula1>
    </x:dataValidation>
    <x:dataValidation type="decimal" errorStyle="stop" operator="between" showErrorMessage="1" errorTitle="数值范围" error="请输入 0–12 的数值。" sqref="D8:E13">
      <x:formula1>0</x:formula1>
      <x:formula2>12</x:formula2>
    </x:dataValidation>
    <x:dataValidation type="whole" operator="between" sqref="G8:G13">
      <x:formula1>0</x:formula1>
      <x:formula2>240</x:formula2>
    </x:dataValidation>
    <x:dataValidation type="whole" operator="between" sqref="J8:J13">
      <x:formula1>0</x:formula1>
      <x:formula2>30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b6f35b462da4d63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9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</x:cols>
  <x:sheetData>
    <x:row r="1" ht="21" customHeight="1">
      <x:c r="A1" s="8" t="str">
        <x:v>TRACK MAP  /  134 格赛道映射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3"/>
      <x:c r="O1" s="3"/>
      <x:c r="P1" s="3"/>
      <x:c r="Q1" s="3"/>
      <x:c r="R1" s="3"/>
    </x:row>
    <x:row r="2" ht="21" customHeight="1">
      <x:c r="A2" s="6"/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3"/>
      <x:c r="O2" s="3"/>
      <x:c r="P2" s="3"/>
      <x:c r="Q2" s="3"/>
      <x:c r="R2" s="3"/>
    </x:row>
    <x:row r="3" ht="21" customHeight="1">
      <x:c r="A3" s="10" t="str">
        <x:v>编号 → 区段 → 行列坐标 → 车道 → 弯道系数；画面中的赛车位置由这张表决定。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3"/>
      <x:c r="O3" s="3"/>
      <x:c r="P3" s="3"/>
      <x:c r="Q3" s="3"/>
      <x:c r="R3" s="3"/>
    </x:row>
    <x:row r="4" ht="21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3"/>
      <x:c r="O4" s="3"/>
      <x:c r="P4" s="3"/>
      <x:c r="Q4" s="3"/>
      <x:c r="R4" s="3"/>
    </x:row>
    <x:row r="5" ht="21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</x:row>
    <x:row r="6" ht="21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</x:row>
    <x:row r="7" ht="32" customHeight="1">
      <x:c r="A7" s="38" t="str">
        <x:v>格号</x:v>
      </x:c>
      <x:c r="B7" s="38" t="str">
        <x:v>区段</x:v>
      </x:c>
      <x:c r="C7" s="38" t="str">
        <x:v>编号行</x:v>
      </x:c>
      <x:c r="D7" s="38" t="str">
        <x:v>编号列</x:v>
      </x:c>
      <x:c r="E7" s="38" t="str">
        <x:v>编号单元格</x:v>
      </x:c>
      <x:c r="F7" s="38" t="str">
        <x:v>方向</x:v>
      </x:c>
      <x:c r="G7" s="38" t="str">
        <x:v>车道1行</x:v>
      </x:c>
      <x:c r="H7" s="38" t="str">
        <x:v>车道1列</x:v>
      </x:c>
      <x:c r="I7" s="38" t="str">
        <x:v>车道1键</x:v>
      </x:c>
      <x:c r="J7" s="38" t="str">
        <x:v>车道2行</x:v>
      </x:c>
      <x:c r="K7" s="38" t="str">
        <x:v>车道2列</x:v>
      </x:c>
      <x:c r="L7" s="38" t="str">
        <x:v>车道2键</x:v>
      </x:c>
      <x:c r="M7" s="38" t="str">
        <x:v>速度系数</x:v>
      </x:c>
      <x:c r="N7" s="3"/>
      <x:c r="O7" s="3"/>
      <x:c r="P7" s="3"/>
      <x:c r="Q7" s="3"/>
      <x:c r="R7" s="3"/>
    </x:row>
    <x:row r="8" ht="21" customHeight="1">
      <x:c r="A8" s="3" t="n">
        <x:v>1</x:v>
      </x:c>
      <x:c r="B8" s="3" t="str">
        <x:v>发车大直道</x:v>
      </x:c>
      <x:c r="C8" s="3" t="n">
        <x:v>30</x:v>
      </x:c>
      <x:c r="D8" s="3" t="n">
        <x:v>16</x:v>
      </x:c>
      <x:c r="E8" s="3" t="str">
        <x:v>P30</x:v>
      </x:c>
      <x:c r="F8" s="3" t="str">
        <x:v>←</x:v>
      </x:c>
      <x:c r="G8" s="3" t="n">
        <x:v>31</x:v>
      </x:c>
      <x:c r="H8" s="3" t="n">
        <x:v>16</x:v>
      </x:c>
      <x:c r="I8" s="3" t="n">
        <x:v>3116</x:v>
      </x:c>
      <x:c r="J8" s="3" t="n">
        <x:v>30</x:v>
      </x:c>
      <x:c r="K8" s="3" t="n">
        <x:v>16</x:v>
      </x:c>
      <x:c r="L8" s="3" t="n">
        <x:v>3016</x:v>
      </x:c>
      <x:c r="M8" s="60" t="n">
        <x:v>0.78</x:v>
      </x:c>
      <x:c r="N8" s="3"/>
      <x:c r="O8" s="3"/>
      <x:c r="P8" s="3"/>
      <x:c r="Q8" s="3"/>
      <x:c r="R8" s="3"/>
    </x:row>
    <x:row r="9" ht="21" customHeight="1">
      <x:c r="A9" s="3" t="n">
        <x:v>2</x:v>
      </x:c>
      <x:c r="B9" s="3" t="str">
        <x:v>发车大直道</x:v>
      </x:c>
      <x:c r="C9" s="3" t="n">
        <x:v>30</x:v>
      </x:c>
      <x:c r="D9" s="3" t="n">
        <x:v>15</x:v>
      </x:c>
      <x:c r="E9" s="3" t="str">
        <x:v>O30</x:v>
      </x:c>
      <x:c r="F9" s="3" t="str">
        <x:v>←</x:v>
      </x:c>
      <x:c r="G9" s="3" t="n">
        <x:v>31</x:v>
      </x:c>
      <x:c r="H9" s="3" t="n">
        <x:v>15</x:v>
      </x:c>
      <x:c r="I9" s="3" t="n">
        <x:v>3115</x:v>
      </x:c>
      <x:c r="J9" s="3" t="n">
        <x:v>30</x:v>
      </x:c>
      <x:c r="K9" s="3" t="n">
        <x:v>15</x:v>
      </x:c>
      <x:c r="L9" s="3" t="n">
        <x:v>3015</x:v>
      </x:c>
      <x:c r="M9" s="60" t="n">
        <x:v>1</x:v>
      </x:c>
      <x:c r="N9" s="3"/>
      <x:c r="O9" s="3"/>
      <x:c r="P9" s="3"/>
      <x:c r="Q9" s="3"/>
      <x:c r="R9" s="3"/>
    </x:row>
    <x:row r="10" ht="21" customHeight="1">
      <x:c r="A10" s="3" t="n">
        <x:v>3</x:v>
      </x:c>
      <x:c r="B10" s="3" t="str">
        <x:v>发车大直道</x:v>
      </x:c>
      <x:c r="C10" s="3" t="n">
        <x:v>30</x:v>
      </x:c>
      <x:c r="D10" s="3" t="n">
        <x:v>14</x:v>
      </x:c>
      <x:c r="E10" s="3" t="str">
        <x:v>N30</x:v>
      </x:c>
      <x:c r="F10" s="3" t="str">
        <x:v>←</x:v>
      </x:c>
      <x:c r="G10" s="3" t="n">
        <x:v>31</x:v>
      </x:c>
      <x:c r="H10" s="3" t="n">
        <x:v>14</x:v>
      </x:c>
      <x:c r="I10" s="3" t="n">
        <x:v>3114</x:v>
      </x:c>
      <x:c r="J10" s="3" t="n">
        <x:v>30</x:v>
      </x:c>
      <x:c r="K10" s="3" t="n">
        <x:v>14</x:v>
      </x:c>
      <x:c r="L10" s="3" t="n">
        <x:v>3014</x:v>
      </x:c>
      <x:c r="M10" s="60" t="n">
        <x:v>1</x:v>
      </x:c>
      <x:c r="N10" s="3"/>
      <x:c r="O10" s="3"/>
      <x:c r="P10" s="3"/>
      <x:c r="Q10" s="3"/>
      <x:c r="R10" s="3"/>
    </x:row>
    <x:row r="11" ht="21" customHeight="1">
      <x:c r="A11" s="3" t="n">
        <x:v>4</x:v>
      </x:c>
      <x:c r="B11" s="3" t="str">
        <x:v>发车大直道</x:v>
      </x:c>
      <x:c r="C11" s="3" t="n">
        <x:v>30</x:v>
      </x:c>
      <x:c r="D11" s="3" t="n">
        <x:v>13</x:v>
      </x:c>
      <x:c r="E11" s="3" t="str">
        <x:v>M30</x:v>
      </x:c>
      <x:c r="F11" s="3" t="str">
        <x:v>←</x:v>
      </x:c>
      <x:c r="G11" s="3" t="n">
        <x:v>31</x:v>
      </x:c>
      <x:c r="H11" s="3" t="n">
        <x:v>13</x:v>
      </x:c>
      <x:c r="I11" s="3" t="n">
        <x:v>3113</x:v>
      </x:c>
      <x:c r="J11" s="3" t="n">
        <x:v>30</x:v>
      </x:c>
      <x:c r="K11" s="3" t="n">
        <x:v>13</x:v>
      </x:c>
      <x:c r="L11" s="3" t="n">
        <x:v>3013</x:v>
      </x:c>
      <x:c r="M11" s="60" t="n">
        <x:v>1</x:v>
      </x:c>
      <x:c r="N11" s="3"/>
      <x:c r="O11" s="3"/>
      <x:c r="P11" s="3"/>
      <x:c r="Q11" s="3"/>
      <x:c r="R11" s="3"/>
    </x:row>
    <x:row r="12" ht="21" customHeight="1">
      <x:c r="A12" s="3" t="n">
        <x:v>5</x:v>
      </x:c>
      <x:c r="B12" s="3" t="str">
        <x:v>发车大直道</x:v>
      </x:c>
      <x:c r="C12" s="3" t="n">
        <x:v>30</x:v>
      </x:c>
      <x:c r="D12" s="3" t="n">
        <x:v>12</x:v>
      </x:c>
      <x:c r="E12" s="3" t="str">
        <x:v>L30</x:v>
      </x:c>
      <x:c r="F12" s="3" t="str">
        <x:v>←</x:v>
      </x:c>
      <x:c r="G12" s="3" t="n">
        <x:v>31</x:v>
      </x:c>
      <x:c r="H12" s="3" t="n">
        <x:v>12</x:v>
      </x:c>
      <x:c r="I12" s="3" t="n">
        <x:v>3112</x:v>
      </x:c>
      <x:c r="J12" s="3" t="n">
        <x:v>30</x:v>
      </x:c>
      <x:c r="K12" s="3" t="n">
        <x:v>12</x:v>
      </x:c>
      <x:c r="L12" s="3" t="n">
        <x:v>3012</x:v>
      </x:c>
      <x:c r="M12" s="60" t="n">
        <x:v>1</x:v>
      </x:c>
      <x:c r="N12" s="3"/>
      <x:c r="O12" s="3"/>
      <x:c r="P12" s="3"/>
      <x:c r="Q12" s="3"/>
      <x:c r="R12" s="3"/>
    </x:row>
    <x:row r="13" ht="21" customHeight="1">
      <x:c r="A13" s="3" t="n">
        <x:v>6</x:v>
      </x:c>
      <x:c r="B13" s="3" t="str">
        <x:v>发车大直道</x:v>
      </x:c>
      <x:c r="C13" s="3" t="n">
        <x:v>30</x:v>
      </x:c>
      <x:c r="D13" s="3" t="n">
        <x:v>11</x:v>
      </x:c>
      <x:c r="E13" s="3" t="str">
        <x:v>K30</x:v>
      </x:c>
      <x:c r="F13" s="3" t="str">
        <x:v>←</x:v>
      </x:c>
      <x:c r="G13" s="3" t="n">
        <x:v>31</x:v>
      </x:c>
      <x:c r="H13" s="3" t="n">
        <x:v>11</x:v>
      </x:c>
      <x:c r="I13" s="3" t="n">
        <x:v>3111</x:v>
      </x:c>
      <x:c r="J13" s="3" t="n">
        <x:v>30</x:v>
      </x:c>
      <x:c r="K13" s="3" t="n">
        <x:v>11</x:v>
      </x:c>
      <x:c r="L13" s="3" t="n">
        <x:v>3011</x:v>
      </x:c>
      <x:c r="M13" s="60" t="n">
        <x:v>1</x:v>
      </x:c>
      <x:c r="N13" s="3"/>
      <x:c r="O13" s="3"/>
      <x:c r="P13" s="3"/>
      <x:c r="Q13" s="3"/>
      <x:c r="R13" s="3"/>
    </x:row>
    <x:row r="14" ht="21" customHeight="1">
      <x:c r="A14" s="3" t="n">
        <x:v>7</x:v>
      </x:c>
      <x:c r="B14" s="3" t="str">
        <x:v>发车大直道</x:v>
      </x:c>
      <x:c r="C14" s="3" t="n">
        <x:v>30</x:v>
      </x:c>
      <x:c r="D14" s="3" t="n">
        <x:v>10</x:v>
      </x:c>
      <x:c r="E14" s="3" t="str">
        <x:v>J30</x:v>
      </x:c>
      <x:c r="F14" s="3" t="str">
        <x:v>←</x:v>
      </x:c>
      <x:c r="G14" s="3" t="n">
        <x:v>31</x:v>
      </x:c>
      <x:c r="H14" s="3" t="n">
        <x:v>10</x:v>
      </x:c>
      <x:c r="I14" s="3" t="n">
        <x:v>3110</x:v>
      </x:c>
      <x:c r="J14" s="3" t="n">
        <x:v>30</x:v>
      </x:c>
      <x:c r="K14" s="3" t="n">
        <x:v>10</x:v>
      </x:c>
      <x:c r="L14" s="3" t="n">
        <x:v>3010</x:v>
      </x:c>
      <x:c r="M14" s="60" t="n">
        <x:v>1</x:v>
      </x:c>
      <x:c r="N14" s="3"/>
      <x:c r="O14" s="3"/>
      <x:c r="P14" s="3"/>
      <x:c r="Q14" s="3"/>
      <x:c r="R14" s="3"/>
    </x:row>
    <x:row r="15" ht="21" customHeight="1">
      <x:c r="A15" s="3" t="n">
        <x:v>8</x:v>
      </x:c>
      <x:c r="B15" s="3" t="str">
        <x:v>发车大直道</x:v>
      </x:c>
      <x:c r="C15" s="3" t="n">
        <x:v>30</x:v>
      </x:c>
      <x:c r="D15" s="3" t="n">
        <x:v>9</x:v>
      </x:c>
      <x:c r="E15" s="3" t="str">
        <x:v>I30</x:v>
      </x:c>
      <x:c r="F15" s="3" t="str">
        <x:v>←</x:v>
      </x:c>
      <x:c r="G15" s="3" t="n">
        <x:v>31</x:v>
      </x:c>
      <x:c r="H15" s="3" t="n">
        <x:v>9</x:v>
      </x:c>
      <x:c r="I15" s="3" t="n">
        <x:v>3109</x:v>
      </x:c>
      <x:c r="J15" s="3" t="n">
        <x:v>30</x:v>
      </x:c>
      <x:c r="K15" s="3" t="n">
        <x:v>9</x:v>
      </x:c>
      <x:c r="L15" s="3" t="n">
        <x:v>3009</x:v>
      </x:c>
      <x:c r="M15" s="60" t="n">
        <x:v>1</x:v>
      </x:c>
      <x:c r="N15" s="3"/>
      <x:c r="O15" s="3"/>
      <x:c r="P15" s="3"/>
      <x:c r="Q15" s="3"/>
      <x:c r="R15" s="3"/>
    </x:row>
    <x:row r="16" ht="21" customHeight="1">
      <x:c r="A16" s="3" t="n">
        <x:v>9</x:v>
      </x:c>
      <x:c r="B16" s="3" t="str">
        <x:v>发车大直道</x:v>
      </x:c>
      <x:c r="C16" s="3" t="n">
        <x:v>30</x:v>
      </x:c>
      <x:c r="D16" s="3" t="n">
        <x:v>8</x:v>
      </x:c>
      <x:c r="E16" s="3" t="str">
        <x:v>H30</x:v>
      </x:c>
      <x:c r="F16" s="3" t="str">
        <x:v>←</x:v>
      </x:c>
      <x:c r="G16" s="3" t="n">
        <x:v>31</x:v>
      </x:c>
      <x:c r="H16" s="3" t="n">
        <x:v>8</x:v>
      </x:c>
      <x:c r="I16" s="3" t="n">
        <x:v>3108</x:v>
      </x:c>
      <x:c r="J16" s="3" t="n">
        <x:v>30</x:v>
      </x:c>
      <x:c r="K16" s="3" t="n">
        <x:v>8</x:v>
      </x:c>
      <x:c r="L16" s="3" t="n">
        <x:v>3008</x:v>
      </x:c>
      <x:c r="M16" s="60" t="n">
        <x:v>1</x:v>
      </x:c>
      <x:c r="N16" s="3"/>
      <x:c r="O16" s="3"/>
      <x:c r="P16" s="3"/>
      <x:c r="Q16" s="3"/>
      <x:c r="R16" s="3"/>
    </x:row>
    <x:row r="17" ht="21" customHeight="1">
      <x:c r="A17" s="3" t="n">
        <x:v>10</x:v>
      </x:c>
      <x:c r="B17" s="3" t="str">
        <x:v>发车大直道</x:v>
      </x:c>
      <x:c r="C17" s="3" t="n">
        <x:v>30</x:v>
      </x:c>
      <x:c r="D17" s="3" t="n">
        <x:v>7</x:v>
      </x:c>
      <x:c r="E17" s="3" t="str">
        <x:v>G30</x:v>
      </x:c>
      <x:c r="F17" s="3" t="str">
        <x:v>←</x:v>
      </x:c>
      <x:c r="G17" s="3" t="n">
        <x:v>31</x:v>
      </x:c>
      <x:c r="H17" s="3" t="n">
        <x:v>7</x:v>
      </x:c>
      <x:c r="I17" s="3" t="n">
        <x:v>3107</x:v>
      </x:c>
      <x:c r="J17" s="3" t="n">
        <x:v>30</x:v>
      </x:c>
      <x:c r="K17" s="3" t="n">
        <x:v>7</x:v>
      </x:c>
      <x:c r="L17" s="3" t="n">
        <x:v>3007</x:v>
      </x:c>
      <x:c r="M17" s="60" t="n">
        <x:v>1</x:v>
      </x:c>
      <x:c r="N17" s="3"/>
      <x:c r="O17" s="3"/>
      <x:c r="P17" s="3"/>
      <x:c r="Q17" s="3"/>
      <x:c r="R17" s="3"/>
    </x:row>
    <x:row r="18" ht="21" customHeight="1">
      <x:c r="A18" s="3" t="n">
        <x:v>11</x:v>
      </x:c>
      <x:c r="B18" s="3" t="str">
        <x:v>发车大直道</x:v>
      </x:c>
      <x:c r="C18" s="3" t="n">
        <x:v>30</x:v>
      </x:c>
      <x:c r="D18" s="3" t="n">
        <x:v>6</x:v>
      </x:c>
      <x:c r="E18" s="3" t="str">
        <x:v>F30</x:v>
      </x:c>
      <x:c r="F18" s="3" t="str">
        <x:v>←</x:v>
      </x:c>
      <x:c r="G18" s="3" t="n">
        <x:v>31</x:v>
      </x:c>
      <x:c r="H18" s="3" t="n">
        <x:v>6</x:v>
      </x:c>
      <x:c r="I18" s="3" t="n">
        <x:v>3106</x:v>
      </x:c>
      <x:c r="J18" s="3" t="n">
        <x:v>30</x:v>
      </x:c>
      <x:c r="K18" s="3" t="n">
        <x:v>6</x:v>
      </x:c>
      <x:c r="L18" s="3" t="n">
        <x:v>3006</x:v>
      </x:c>
      <x:c r="M18" s="60" t="n">
        <x:v>1</x:v>
      </x:c>
      <x:c r="N18" s="3"/>
      <x:c r="O18" s="3"/>
      <x:c r="P18" s="3"/>
      <x:c r="Q18" s="3"/>
      <x:c r="R18" s="3"/>
    </x:row>
    <x:row r="19" ht="21" customHeight="1">
      <x:c r="A19" s="3" t="n">
        <x:v>12</x:v>
      </x:c>
      <x:c r="B19" s="3" t="str">
        <x:v>发车大直道</x:v>
      </x:c>
      <x:c r="C19" s="3" t="n">
        <x:v>30</x:v>
      </x:c>
      <x:c r="D19" s="3" t="n">
        <x:v>5</x:v>
      </x:c>
      <x:c r="E19" s="3" t="str">
        <x:v>E30</x:v>
      </x:c>
      <x:c r="F19" s="3" t="str">
        <x:v>←</x:v>
      </x:c>
      <x:c r="G19" s="3" t="n">
        <x:v>31</x:v>
      </x:c>
      <x:c r="H19" s="3" t="n">
        <x:v>5</x:v>
      </x:c>
      <x:c r="I19" s="3" t="n">
        <x:v>3105</x:v>
      </x:c>
      <x:c r="J19" s="3" t="n">
        <x:v>30</x:v>
      </x:c>
      <x:c r="K19" s="3" t="n">
        <x:v>5</x:v>
      </x:c>
      <x:c r="L19" s="3" t="n">
        <x:v>3005</x:v>
      </x:c>
      <x:c r="M19" s="60" t="n">
        <x:v>0.78</x:v>
      </x:c>
      <x:c r="N19" s="3"/>
      <x:c r="O19" s="3"/>
      <x:c r="P19" s="3"/>
      <x:c r="Q19" s="3"/>
      <x:c r="R19" s="3"/>
    </x:row>
    <x:row r="20" ht="21" customHeight="1">
      <x:c r="A20" s="3" t="n">
        <x:v>13</x:v>
      </x:c>
      <x:c r="B20" s="3" t="str">
        <x:v>西侧回弯</x:v>
      </x:c>
      <x:c r="C20" s="3" t="n">
        <x:v>29</x:v>
      </x:c>
      <x:c r="D20" s="3" t="n">
        <x:v>4</x:v>
      </x:c>
      <x:c r="E20" s="3" t="str">
        <x:v>D29</x:v>
      </x:c>
      <x:c r="F20" s="3" t="str">
        <x:v>↑</x:v>
      </x:c>
      <x:c r="G20" s="3" t="n">
        <x:v>29</x:v>
      </x:c>
      <x:c r="H20" s="3" t="n">
        <x:v>3</x:v>
      </x:c>
      <x:c r="I20" s="3" t="n">
        <x:v>2903</x:v>
      </x:c>
      <x:c r="J20" s="3" t="n">
        <x:v>29</x:v>
      </x:c>
      <x:c r="K20" s="3" t="n">
        <x:v>4</x:v>
      </x:c>
      <x:c r="L20" s="3" t="n">
        <x:v>2904</x:v>
      </x:c>
      <x:c r="M20" s="60" t="n">
        <x:v>0.78</x:v>
      </x:c>
      <x:c r="N20" s="3"/>
      <x:c r="O20" s="3"/>
      <x:c r="P20" s="3"/>
      <x:c r="Q20" s="3"/>
      <x:c r="R20" s="3"/>
    </x:row>
    <x:row r="21" ht="21" customHeight="1">
      <x:c r="A21" s="3" t="n">
        <x:v>14</x:v>
      </x:c>
      <x:c r="B21" s="3" t="str">
        <x:v>西侧回弯</x:v>
      </x:c>
      <x:c r="C21" s="3" t="n">
        <x:v>28</x:v>
      </x:c>
      <x:c r="D21" s="3" t="n">
        <x:v>4</x:v>
      </x:c>
      <x:c r="E21" s="3" t="str">
        <x:v>D28</x:v>
      </x:c>
      <x:c r="F21" s="3" t="str">
        <x:v>↑</x:v>
      </x:c>
      <x:c r="G21" s="3" t="n">
        <x:v>28</x:v>
      </x:c>
      <x:c r="H21" s="3" t="n">
        <x:v>3</x:v>
      </x:c>
      <x:c r="I21" s="3" t="n">
        <x:v>2803</x:v>
      </x:c>
      <x:c r="J21" s="3" t="n">
        <x:v>28</x:v>
      </x:c>
      <x:c r="K21" s="3" t="n">
        <x:v>4</x:v>
      </x:c>
      <x:c r="L21" s="3" t="n">
        <x:v>2804</x:v>
      </x:c>
      <x:c r="M21" s="60" t="n">
        <x:v>0.78</x:v>
      </x:c>
      <x:c r="N21" s="3"/>
      <x:c r="O21" s="3"/>
      <x:c r="P21" s="3"/>
      <x:c r="Q21" s="3"/>
      <x:c r="R21" s="3"/>
    </x:row>
    <x:row r="22" ht="21" customHeight="1">
      <x:c r="A22" s="3" t="n">
        <x:v>15</x:v>
      </x:c>
      <x:c r="B22" s="3" t="str">
        <x:v>西侧回弯</x:v>
      </x:c>
      <x:c r="C22" s="3" t="n">
        <x:v>27</x:v>
      </x:c>
      <x:c r="D22" s="3" t="n">
        <x:v>4</x:v>
      </x:c>
      <x:c r="E22" s="3" t="str">
        <x:v>D27</x:v>
      </x:c>
      <x:c r="F22" s="3" t="str">
        <x:v>↑</x:v>
      </x:c>
      <x:c r="G22" s="3" t="n">
        <x:v>27</x:v>
      </x:c>
      <x:c r="H22" s="3" t="n">
        <x:v>3</x:v>
      </x:c>
      <x:c r="I22" s="3" t="n">
        <x:v>2703</x:v>
      </x:c>
      <x:c r="J22" s="3" t="n">
        <x:v>27</x:v>
      </x:c>
      <x:c r="K22" s="3" t="n">
        <x:v>4</x:v>
      </x:c>
      <x:c r="L22" s="3" t="n">
        <x:v>2704</x:v>
      </x:c>
      <x:c r="M22" s="60" t="n">
        <x:v>0.78</x:v>
      </x:c>
      <x:c r="N22" s="3"/>
      <x:c r="O22" s="3"/>
      <x:c r="P22" s="3"/>
      <x:c r="Q22" s="3"/>
      <x:c r="R22" s="3"/>
    </x:row>
    <x:row r="23" ht="21" customHeight="1">
      <x:c r="A23" s="3" t="n">
        <x:v>16</x:v>
      </x:c>
      <x:c r="B23" s="3" t="str">
        <x:v>西侧回弯</x:v>
      </x:c>
      <x:c r="C23" s="3" t="n">
        <x:v>26</x:v>
      </x:c>
      <x:c r="D23" s="3" t="n">
        <x:v>4</x:v>
      </x:c>
      <x:c r="E23" s="3" t="str">
        <x:v>D26</x:v>
      </x:c>
      <x:c r="F23" s="3" t="str">
        <x:v>↑</x:v>
      </x:c>
      <x:c r="G23" s="3" t="n">
        <x:v>26</x:v>
      </x:c>
      <x:c r="H23" s="3" t="n">
        <x:v>3</x:v>
      </x:c>
      <x:c r="I23" s="3" t="n">
        <x:v>2603</x:v>
      </x:c>
      <x:c r="J23" s="3" t="n">
        <x:v>26</x:v>
      </x:c>
      <x:c r="K23" s="3" t="n">
        <x:v>4</x:v>
      </x:c>
      <x:c r="L23" s="3" t="n">
        <x:v>2604</x:v>
      </x:c>
      <x:c r="M23" s="60" t="n">
        <x:v>0.78</x:v>
      </x:c>
      <x:c r="N23" s="3"/>
      <x:c r="O23" s="3"/>
      <x:c r="P23" s="3"/>
      <x:c r="Q23" s="3"/>
      <x:c r="R23" s="3"/>
    </x:row>
    <x:row r="24" ht="21" customHeight="1">
      <x:c r="A24" s="3" t="n">
        <x:v>17</x:v>
      </x:c>
      <x:c r="B24" s="3" t="str">
        <x:v>西侧回弯</x:v>
      </x:c>
      <x:c r="C24" s="3" t="n">
        <x:v>25</x:v>
      </x:c>
      <x:c r="D24" s="3" t="n">
        <x:v>4</x:v>
      </x:c>
      <x:c r="E24" s="3" t="str">
        <x:v>D25</x:v>
      </x:c>
      <x:c r="F24" s="3" t="str">
        <x:v>↑</x:v>
      </x:c>
      <x:c r="G24" s="3" t="n">
        <x:v>25</x:v>
      </x:c>
      <x:c r="H24" s="3" t="n">
        <x:v>3</x:v>
      </x:c>
      <x:c r="I24" s="3" t="n">
        <x:v>2503</x:v>
      </x:c>
      <x:c r="J24" s="3" t="n">
        <x:v>25</x:v>
      </x:c>
      <x:c r="K24" s="3" t="n">
        <x:v>4</x:v>
      </x:c>
      <x:c r="L24" s="3" t="n">
        <x:v>2504</x:v>
      </x:c>
      <x:c r="M24" s="60" t="n">
        <x:v>0.78</x:v>
      </x:c>
      <x:c r="N24" s="3"/>
      <x:c r="O24" s="3"/>
      <x:c r="P24" s="3"/>
      <x:c r="Q24" s="3"/>
      <x:c r="R24" s="3"/>
    </x:row>
    <x:row r="25" ht="21" customHeight="1">
      <x:c r="A25" s="3" t="n">
        <x:v>18</x:v>
      </x:c>
      <x:c r="B25" s="3" t="str">
        <x:v>西侧回弯</x:v>
      </x:c>
      <x:c r="C25" s="3" t="n">
        <x:v>24</x:v>
      </x:c>
      <x:c r="D25" s="3" t="n">
        <x:v>4</x:v>
      </x:c>
      <x:c r="E25" s="3" t="str">
        <x:v>D24</x:v>
      </x:c>
      <x:c r="F25" s="3" t="str">
        <x:v>↑</x:v>
      </x:c>
      <x:c r="G25" s="3" t="n">
        <x:v>24</x:v>
      </x:c>
      <x:c r="H25" s="3" t="n">
        <x:v>3</x:v>
      </x:c>
      <x:c r="I25" s="3" t="n">
        <x:v>2403</x:v>
      </x:c>
      <x:c r="J25" s="3" t="n">
        <x:v>24</x:v>
      </x:c>
      <x:c r="K25" s="3" t="n">
        <x:v>4</x:v>
      </x:c>
      <x:c r="L25" s="3" t="n">
        <x:v>2404</x:v>
      </x:c>
      <x:c r="M25" s="60" t="n">
        <x:v>0.78</x:v>
      </x:c>
      <x:c r="N25" s="3"/>
      <x:c r="O25" s="3"/>
      <x:c r="P25" s="3"/>
      <x:c r="Q25" s="3"/>
      <x:c r="R25" s="3"/>
    </x:row>
    <x:row r="26" ht="21" customHeight="1">
      <x:c r="A26" s="3" t="n">
        <x:v>19</x:v>
      </x:c>
      <x:c r="B26" s="3" t="str">
        <x:v>西侧回弯</x:v>
      </x:c>
      <x:c r="C26" s="3" t="n">
        <x:v>23</x:v>
      </x:c>
      <x:c r="D26" s="3" t="n">
        <x:v>4</x:v>
      </x:c>
      <x:c r="E26" s="3" t="str">
        <x:v>D23</x:v>
      </x:c>
      <x:c r="F26" s="3" t="str">
        <x:v>↑</x:v>
      </x:c>
      <x:c r="G26" s="3" t="n">
        <x:v>23</x:v>
      </x:c>
      <x:c r="H26" s="3" t="n">
        <x:v>3</x:v>
      </x:c>
      <x:c r="I26" s="3" t="n">
        <x:v>2303</x:v>
      </x:c>
      <x:c r="J26" s="3" t="n">
        <x:v>23</x:v>
      </x:c>
      <x:c r="K26" s="3" t="n">
        <x:v>4</x:v>
      </x:c>
      <x:c r="L26" s="3" t="n">
        <x:v>2304</x:v>
      </x:c>
      <x:c r="M26" s="60" t="n">
        <x:v>0.78</x:v>
      </x:c>
      <x:c r="N26" s="3"/>
      <x:c r="O26" s="3"/>
      <x:c r="P26" s="3"/>
      <x:c r="Q26" s="3"/>
      <x:c r="R26" s="3"/>
    </x:row>
    <x:row r="27" ht="21" customHeight="1">
      <x:c r="A27" s="3" t="n">
        <x:v>20</x:v>
      </x:c>
      <x:c r="B27" s="3" t="str">
        <x:v>西侧回弯</x:v>
      </x:c>
      <x:c r="C27" s="3" t="n">
        <x:v>22</x:v>
      </x:c>
      <x:c r="D27" s="3" t="n">
        <x:v>5</x:v>
      </x:c>
      <x:c r="E27" s="3" t="str">
        <x:v>E22</x:v>
      </x:c>
      <x:c r="F27" s="3" t="str">
        <x:v>↑</x:v>
      </x:c>
      <x:c r="G27" s="3" t="n">
        <x:v>22</x:v>
      </x:c>
      <x:c r="H27" s="3" t="n">
        <x:v>4</x:v>
      </x:c>
      <x:c r="I27" s="3" t="n">
        <x:v>2204</x:v>
      </x:c>
      <x:c r="J27" s="3" t="n">
        <x:v>22</x:v>
      </x:c>
      <x:c r="K27" s="3" t="n">
        <x:v>5</x:v>
      </x:c>
      <x:c r="L27" s="3" t="n">
        <x:v>2205</x:v>
      </x:c>
      <x:c r="M27" s="60" t="n">
        <x:v>0.78</x:v>
      </x:c>
      <x:c r="N27" s="3"/>
      <x:c r="O27" s="3"/>
      <x:c r="P27" s="3"/>
      <x:c r="Q27" s="3"/>
      <x:c r="R27" s="3"/>
    </x:row>
    <x:row r="28" ht="21" customHeight="1">
      <x:c r="A28" s="3" t="n">
        <x:v>21</x:v>
      </x:c>
      <x:c r="B28" s="3" t="str">
        <x:v>短直道</x:v>
      </x:c>
      <x:c r="C28" s="3" t="n">
        <x:v>21</x:v>
      </x:c>
      <x:c r="D28" s="3" t="n">
        <x:v>6</x:v>
      </x:c>
      <x:c r="E28" s="3" t="str">
        <x:v>F21</x:v>
      </x:c>
      <x:c r="F28" s="3" t="str">
        <x:v>→</x:v>
      </x:c>
      <x:c r="G28" s="3" t="n">
        <x:v>22</x:v>
      </x:c>
      <x:c r="H28" s="3" t="n">
        <x:v>6</x:v>
      </x:c>
      <x:c r="I28" s="3" t="n">
        <x:v>2206</x:v>
      </x:c>
      <x:c r="J28" s="3" t="n">
        <x:v>21</x:v>
      </x:c>
      <x:c r="K28" s="3" t="n">
        <x:v>6</x:v>
      </x:c>
      <x:c r="L28" s="3" t="n">
        <x:v>2106</x:v>
      </x:c>
      <x:c r="M28" s="60" t="n">
        <x:v>0.78</x:v>
      </x:c>
      <x:c r="N28" s="3"/>
      <x:c r="O28" s="3"/>
      <x:c r="P28" s="3"/>
      <x:c r="Q28" s="3"/>
      <x:c r="R28" s="3"/>
    </x:row>
    <x:row r="29" ht="21" customHeight="1">
      <x:c r="A29" s="3" t="n">
        <x:v>22</x:v>
      </x:c>
      <x:c r="B29" s="3" t="str">
        <x:v>短直道</x:v>
      </x:c>
      <x:c r="C29" s="3" t="n">
        <x:v>21</x:v>
      </x:c>
      <x:c r="D29" s="3" t="n">
        <x:v>7</x:v>
      </x:c>
      <x:c r="E29" s="3" t="str">
        <x:v>G21</x:v>
      </x:c>
      <x:c r="F29" s="3" t="str">
        <x:v>→</x:v>
      </x:c>
      <x:c r="G29" s="3" t="n">
        <x:v>22</x:v>
      </x:c>
      <x:c r="H29" s="3" t="n">
        <x:v>7</x:v>
      </x:c>
      <x:c r="I29" s="3" t="n">
        <x:v>2207</x:v>
      </x:c>
      <x:c r="J29" s="3" t="n">
        <x:v>21</x:v>
      </x:c>
      <x:c r="K29" s="3" t="n">
        <x:v>7</x:v>
      </x:c>
      <x:c r="L29" s="3" t="n">
        <x:v>2107</x:v>
      </x:c>
      <x:c r="M29" s="60" t="n">
        <x:v>1</x:v>
      </x:c>
      <x:c r="N29" s="3"/>
      <x:c r="O29" s="3"/>
      <x:c r="P29" s="3"/>
      <x:c r="Q29" s="3"/>
      <x:c r="R29" s="3"/>
    </x:row>
    <x:row r="30" ht="21" customHeight="1">
      <x:c r="A30" s="3" t="n">
        <x:v>23</x:v>
      </x:c>
      <x:c r="B30" s="3" t="str">
        <x:v>短直道</x:v>
      </x:c>
      <x:c r="C30" s="3" t="n">
        <x:v>21</x:v>
      </x:c>
      <x:c r="D30" s="3" t="n">
        <x:v>8</x:v>
      </x:c>
      <x:c r="E30" s="3" t="str">
        <x:v>H21</x:v>
      </x:c>
      <x:c r="F30" s="3" t="str">
        <x:v>→</x:v>
      </x:c>
      <x:c r="G30" s="3" t="n">
        <x:v>22</x:v>
      </x:c>
      <x:c r="H30" s="3" t="n">
        <x:v>8</x:v>
      </x:c>
      <x:c r="I30" s="3" t="n">
        <x:v>2208</x:v>
      </x:c>
      <x:c r="J30" s="3" t="n">
        <x:v>21</x:v>
      </x:c>
      <x:c r="K30" s="3" t="n">
        <x:v>8</x:v>
      </x:c>
      <x:c r="L30" s="3" t="n">
        <x:v>2108</x:v>
      </x:c>
      <x:c r="M30" s="60" t="n">
        <x:v>1</x:v>
      </x:c>
      <x:c r="N30" s="3"/>
      <x:c r="O30" s="3"/>
      <x:c r="P30" s="3"/>
      <x:c r="Q30" s="3"/>
      <x:c r="R30" s="3"/>
    </x:row>
    <x:row r="31" ht="21" customHeight="1">
      <x:c r="A31" s="3" t="n">
        <x:v>24</x:v>
      </x:c>
      <x:c r="B31" s="3" t="str">
        <x:v>短直道</x:v>
      </x:c>
      <x:c r="C31" s="3" t="n">
        <x:v>21</x:v>
      </x:c>
      <x:c r="D31" s="3" t="n">
        <x:v>9</x:v>
      </x:c>
      <x:c r="E31" s="3" t="str">
        <x:v>I21</x:v>
      </x:c>
      <x:c r="F31" s="3" t="str">
        <x:v>→</x:v>
      </x:c>
      <x:c r="G31" s="3" t="n">
        <x:v>22</x:v>
      </x:c>
      <x:c r="H31" s="3" t="n">
        <x:v>9</x:v>
      </x:c>
      <x:c r="I31" s="3" t="n">
        <x:v>2209</x:v>
      </x:c>
      <x:c r="J31" s="3" t="n">
        <x:v>21</x:v>
      </x:c>
      <x:c r="K31" s="3" t="n">
        <x:v>9</x:v>
      </x:c>
      <x:c r="L31" s="3" t="n">
        <x:v>2109</x:v>
      </x:c>
      <x:c r="M31" s="60" t="n">
        <x:v>0.78</x:v>
      </x:c>
      <x:c r="N31" s="3"/>
      <x:c r="O31" s="3"/>
      <x:c r="P31" s="3"/>
      <x:c r="Q31" s="3"/>
      <x:c r="R31" s="3"/>
    </x:row>
    <x:row r="32" ht="21" customHeight="1">
      <x:c r="A32" s="3" t="n">
        <x:v>25</x:v>
      </x:c>
      <x:c r="B32" s="3" t="str">
        <x:v>西侧上坡弯</x:v>
      </x:c>
      <x:c r="C32" s="3" t="n">
        <x:v>20</x:v>
      </x:c>
      <x:c r="D32" s="3" t="n">
        <x:v>10</x:v>
      </x:c>
      <x:c r="E32" s="3" t="str">
        <x:v>J20</x:v>
      </x:c>
      <x:c r="F32" s="3" t="str">
        <x:v>↑</x:v>
      </x:c>
      <x:c r="G32" s="3" t="n">
        <x:v>20</x:v>
      </x:c>
      <x:c r="H32" s="3" t="n">
        <x:v>11</x:v>
      </x:c>
      <x:c r="I32" s="3" t="n">
        <x:v>2011</x:v>
      </x:c>
      <x:c r="J32" s="3" t="n">
        <x:v>20</x:v>
      </x:c>
      <x:c r="K32" s="3" t="n">
        <x:v>10</x:v>
      </x:c>
      <x:c r="L32" s="3" t="n">
        <x:v>2010</x:v>
      </x:c>
      <x:c r="M32" s="60" t="n">
        <x:v>0.78</x:v>
      </x:c>
      <x:c r="N32" s="3"/>
      <x:c r="O32" s="3"/>
      <x:c r="P32" s="3"/>
      <x:c r="Q32" s="3"/>
      <x:c r="R32" s="3"/>
    </x:row>
    <x:row r="33" ht="21" customHeight="1">
      <x:c r="A33" s="3" t="n">
        <x:v>26</x:v>
      </x:c>
      <x:c r="B33" s="3" t="str">
        <x:v>西侧上坡弯</x:v>
      </x:c>
      <x:c r="C33" s="3" t="n">
        <x:v>19</x:v>
      </x:c>
      <x:c r="D33" s="3" t="n">
        <x:v>11</x:v>
      </x:c>
      <x:c r="E33" s="3" t="str">
        <x:v>K19</x:v>
      </x:c>
      <x:c r="F33" s="3" t="str">
        <x:v>↑</x:v>
      </x:c>
      <x:c r="G33" s="3" t="n">
        <x:v>19</x:v>
      </x:c>
      <x:c r="H33" s="3" t="n">
        <x:v>10</x:v>
      </x:c>
      <x:c r="I33" s="3" t="n">
        <x:v>1910</x:v>
      </x:c>
      <x:c r="J33" s="3" t="n">
        <x:v>19</x:v>
      </x:c>
      <x:c r="K33" s="3" t="n">
        <x:v>11</x:v>
      </x:c>
      <x:c r="L33" s="3" t="n">
        <x:v>1911</x:v>
      </x:c>
      <x:c r="M33" s="60" t="n">
        <x:v>0.78</x:v>
      </x:c>
      <x:c r="N33" s="3"/>
      <x:c r="O33" s="3"/>
      <x:c r="P33" s="3"/>
      <x:c r="Q33" s="3"/>
      <x:c r="R33" s="3"/>
    </x:row>
    <x:row r="34" ht="21" customHeight="1">
      <x:c r="A34" s="3" t="n">
        <x:v>27</x:v>
      </x:c>
      <x:c r="B34" s="3" t="str">
        <x:v>西侧上坡弯</x:v>
      </x:c>
      <x:c r="C34" s="3" t="n">
        <x:v>18</x:v>
      </x:c>
      <x:c r="D34" s="3" t="n">
        <x:v>11</x:v>
      </x:c>
      <x:c r="E34" s="3" t="str">
        <x:v>K18</x:v>
      </x:c>
      <x:c r="F34" s="3" t="str">
        <x:v>↑</x:v>
      </x:c>
      <x:c r="G34" s="3" t="n">
        <x:v>18</x:v>
      </x:c>
      <x:c r="H34" s="3" t="n">
        <x:v>10</x:v>
      </x:c>
      <x:c r="I34" s="3" t="n">
        <x:v>1810</x:v>
      </x:c>
      <x:c r="J34" s="3" t="n">
        <x:v>18</x:v>
      </x:c>
      <x:c r="K34" s="3" t="n">
        <x:v>11</x:v>
      </x:c>
      <x:c r="L34" s="3" t="n">
        <x:v>1811</x:v>
      </x:c>
      <x:c r="M34" s="60" t="n">
        <x:v>0.78</x:v>
      </x:c>
      <x:c r="N34" s="3"/>
      <x:c r="O34" s="3"/>
      <x:c r="P34" s="3"/>
      <x:c r="Q34" s="3"/>
      <x:c r="R34" s="3"/>
    </x:row>
    <x:row r="35" ht="21" customHeight="1">
      <x:c r="A35" s="3" t="n">
        <x:v>28</x:v>
      </x:c>
      <x:c r="B35" s="3" t="str">
        <x:v>西侧上坡弯</x:v>
      </x:c>
      <x:c r="C35" s="3" t="n">
        <x:v>17</x:v>
      </x:c>
      <x:c r="D35" s="3" t="n">
        <x:v>11</x:v>
      </x:c>
      <x:c r="E35" s="3" t="str">
        <x:v>K17</x:v>
      </x:c>
      <x:c r="F35" s="3" t="str">
        <x:v>↑</x:v>
      </x:c>
      <x:c r="G35" s="3" t="n">
        <x:v>17</x:v>
      </x:c>
      <x:c r="H35" s="3" t="n">
        <x:v>10</x:v>
      </x:c>
      <x:c r="I35" s="3" t="n">
        <x:v>1710</x:v>
      </x:c>
      <x:c r="J35" s="3" t="n">
        <x:v>17</x:v>
      </x:c>
      <x:c r="K35" s="3" t="n">
        <x:v>11</x:v>
      </x:c>
      <x:c r="L35" s="3" t="n">
        <x:v>1711</x:v>
      </x:c>
      <x:c r="M35" s="60" t="n">
        <x:v>1</x:v>
      </x:c>
      <x:c r="N35" s="3"/>
      <x:c r="O35" s="3"/>
      <x:c r="P35" s="3"/>
      <x:c r="Q35" s="3"/>
      <x:c r="R35" s="3"/>
    </x:row>
    <x:row r="36" ht="21" customHeight="1">
      <x:c r="A36" s="3" t="n">
        <x:v>29</x:v>
      </x:c>
      <x:c r="B36" s="3" t="str">
        <x:v>西侧上坡弯</x:v>
      </x:c>
      <x:c r="C36" s="3" t="n">
        <x:v>16</x:v>
      </x:c>
      <x:c r="D36" s="3" t="n">
        <x:v>11</x:v>
      </x:c>
      <x:c r="E36" s="3" t="str">
        <x:v>K16</x:v>
      </x:c>
      <x:c r="F36" s="3" t="str">
        <x:v>↑</x:v>
      </x:c>
      <x:c r="G36" s="3" t="n">
        <x:v>16</x:v>
      </x:c>
      <x:c r="H36" s="3" t="n">
        <x:v>10</x:v>
      </x:c>
      <x:c r="I36" s="3" t="n">
        <x:v>1610</x:v>
      </x:c>
      <x:c r="J36" s="3" t="n">
        <x:v>16</x:v>
      </x:c>
      <x:c r="K36" s="3" t="n">
        <x:v>11</x:v>
      </x:c>
      <x:c r="L36" s="3" t="n">
        <x:v>1611</x:v>
      </x:c>
      <x:c r="M36" s="60" t="n">
        <x:v>1</x:v>
      </x:c>
      <x:c r="N36" s="3"/>
      <x:c r="O36" s="3"/>
      <x:c r="P36" s="3"/>
      <x:c r="Q36" s="3"/>
      <x:c r="R36" s="3"/>
    </x:row>
    <x:row r="37" ht="21" customHeight="1">
      <x:c r="A37" s="3" t="n">
        <x:v>30</x:v>
      </x:c>
      <x:c r="B37" s="3" t="str">
        <x:v>西侧上坡弯</x:v>
      </x:c>
      <x:c r="C37" s="3" t="n">
        <x:v>15</x:v>
      </x:c>
      <x:c r="D37" s="3" t="n">
        <x:v>11</x:v>
      </x:c>
      <x:c r="E37" s="3" t="str">
        <x:v>K15</x:v>
      </x:c>
      <x:c r="F37" s="3" t="str">
        <x:v>↑</x:v>
      </x:c>
      <x:c r="G37" s="3" t="n">
        <x:v>15</x:v>
      </x:c>
      <x:c r="H37" s="3" t="n">
        <x:v>10</x:v>
      </x:c>
      <x:c r="I37" s="3" t="n">
        <x:v>1510</x:v>
      </x:c>
      <x:c r="J37" s="3" t="n">
        <x:v>15</x:v>
      </x:c>
      <x:c r="K37" s="3" t="n">
        <x:v>11</x:v>
      </x:c>
      <x:c r="L37" s="3" t="n">
        <x:v>1511</x:v>
      </x:c>
      <x:c r="M37" s="60" t="n">
        <x:v>1</x:v>
      </x:c>
      <x:c r="N37" s="3"/>
      <x:c r="O37" s="3"/>
      <x:c r="P37" s="3"/>
      <x:c r="Q37" s="3"/>
      <x:c r="R37" s="3"/>
    </x:row>
    <x:row r="38" ht="21" customHeight="1">
      <x:c r="A38" s="3" t="n">
        <x:v>31</x:v>
      </x:c>
      <x:c r="B38" s="3" t="str">
        <x:v>西侧上坡弯</x:v>
      </x:c>
      <x:c r="C38" s="3" t="n">
        <x:v>14</x:v>
      </x:c>
      <x:c r="D38" s="3" t="n">
        <x:v>11</x:v>
      </x:c>
      <x:c r="E38" s="3" t="str">
        <x:v>K14</x:v>
      </x:c>
      <x:c r="F38" s="3" t="str">
        <x:v>↑</x:v>
      </x:c>
      <x:c r="G38" s="3" t="n">
        <x:v>14</x:v>
      </x:c>
      <x:c r="H38" s="3" t="n">
        <x:v>10</x:v>
      </x:c>
      <x:c r="I38" s="3" t="n">
        <x:v>1410</x:v>
      </x:c>
      <x:c r="J38" s="3" t="n">
        <x:v>14</x:v>
      </x:c>
      <x:c r="K38" s="3" t="n">
        <x:v>11</x:v>
      </x:c>
      <x:c r="L38" s="3" t="n">
        <x:v>1411</x:v>
      </x:c>
      <x:c r="M38" s="60" t="n">
        <x:v>1</x:v>
      </x:c>
      <x:c r="N38" s="3"/>
      <x:c r="O38" s="3"/>
      <x:c r="P38" s="3"/>
      <x:c r="Q38" s="3"/>
      <x:c r="R38" s="3"/>
    </x:row>
    <x:row r="39" ht="21" customHeight="1">
      <x:c r="A39" s="3" t="n">
        <x:v>32</x:v>
      </x:c>
      <x:c r="B39" s="3" t="str">
        <x:v>西侧上坡弯</x:v>
      </x:c>
      <x:c r="C39" s="3" t="n">
        <x:v>13</x:v>
      </x:c>
      <x:c r="D39" s="3" t="n">
        <x:v>11</x:v>
      </x:c>
      <x:c r="E39" s="3" t="str">
        <x:v>K13</x:v>
      </x:c>
      <x:c r="F39" s="3" t="str">
        <x:v>↑</x:v>
      </x:c>
      <x:c r="G39" s="3" t="n">
        <x:v>13</x:v>
      </x:c>
      <x:c r="H39" s="3" t="n">
        <x:v>10</x:v>
      </x:c>
      <x:c r="I39" s="3" t="n">
        <x:v>1310</x:v>
      </x:c>
      <x:c r="J39" s="3" t="n">
        <x:v>13</x:v>
      </x:c>
      <x:c r="K39" s="3" t="n">
        <x:v>11</x:v>
      </x:c>
      <x:c r="L39" s="3" t="n">
        <x:v>1311</x:v>
      </x:c>
      <x:c r="M39" s="60" t="n">
        <x:v>1</x:v>
      </x:c>
      <x:c r="N39" s="3"/>
      <x:c r="O39" s="3"/>
      <x:c r="P39" s="3"/>
      <x:c r="Q39" s="3"/>
      <x:c r="R39" s="3"/>
    </x:row>
    <x:row r="40" ht="21" customHeight="1">
      <x:c r="A40" s="3" t="n">
        <x:v>33</x:v>
      </x:c>
      <x:c r="B40" s="3" t="str">
        <x:v>西侧上坡弯</x:v>
      </x:c>
      <x:c r="C40" s="3" t="n">
        <x:v>12</x:v>
      </x:c>
      <x:c r="D40" s="3" t="n">
        <x:v>11</x:v>
      </x:c>
      <x:c r="E40" s="3" t="str">
        <x:v>K12</x:v>
      </x:c>
      <x:c r="F40" s="3" t="str">
        <x:v>↑</x:v>
      </x:c>
      <x:c r="G40" s="3" t="n">
        <x:v>12</x:v>
      </x:c>
      <x:c r="H40" s="3" t="n">
        <x:v>10</x:v>
      </x:c>
      <x:c r="I40" s="3" t="n">
        <x:v>1210</x:v>
      </x:c>
      <x:c r="J40" s="3" t="n">
        <x:v>12</x:v>
      </x:c>
      <x:c r="K40" s="3" t="n">
        <x:v>11</x:v>
      </x:c>
      <x:c r="L40" s="3" t="n">
        <x:v>1211</x:v>
      </x:c>
      <x:c r="M40" s="60" t="n">
        <x:v>1</x:v>
      </x:c>
      <x:c r="N40" s="3"/>
      <x:c r="O40" s="3"/>
      <x:c r="P40" s="3"/>
      <x:c r="Q40" s="3"/>
      <x:c r="R40" s="3"/>
    </x:row>
    <x:row r="41" ht="21" customHeight="1">
      <x:c r="A41" s="3" t="n">
        <x:v>34</x:v>
      </x:c>
      <x:c r="B41" s="3" t="str">
        <x:v>西侧上坡弯</x:v>
      </x:c>
      <x:c r="C41" s="3" t="n">
        <x:v>11</x:v>
      </x:c>
      <x:c r="D41" s="3" t="n">
        <x:v>11</x:v>
      </x:c>
      <x:c r="E41" s="3" t="str">
        <x:v>K11</x:v>
      </x:c>
      <x:c r="F41" s="3" t="str">
        <x:v>↑</x:v>
      </x:c>
      <x:c r="G41" s="3" t="n">
        <x:v>11</x:v>
      </x:c>
      <x:c r="H41" s="3" t="n">
        <x:v>10</x:v>
      </x:c>
      <x:c r="I41" s="3" t="n">
        <x:v>1110</x:v>
      </x:c>
      <x:c r="J41" s="3" t="n">
        <x:v>11</x:v>
      </x:c>
      <x:c r="K41" s="3" t="n">
        <x:v>11</x:v>
      </x:c>
      <x:c r="L41" s="3" t="n">
        <x:v>1111</x:v>
      </x:c>
      <x:c r="M41" s="60" t="n">
        <x:v>0.78</x:v>
      </x:c>
      <x:c r="N41" s="3"/>
      <x:c r="O41" s="3"/>
      <x:c r="P41" s="3"/>
      <x:c r="Q41" s="3"/>
      <x:c r="R41" s="3"/>
    </x:row>
    <x:row r="42" ht="21" customHeight="1">
      <x:c r="A42" s="3" t="n">
        <x:v>35</x:v>
      </x:c>
      <x:c r="B42" s="3" t="str">
        <x:v>西侧上坡弯</x:v>
      </x:c>
      <x:c r="C42" s="3" t="n">
        <x:v>10</x:v>
      </x:c>
      <x:c r="D42" s="3" t="n">
        <x:v>11</x:v>
      </x:c>
      <x:c r="E42" s="3" t="str">
        <x:v>K10</x:v>
      </x:c>
      <x:c r="F42" s="3" t="str">
        <x:v>↑</x:v>
      </x:c>
      <x:c r="G42" s="3" t="n">
        <x:v>10</x:v>
      </x:c>
      <x:c r="H42" s="3" t="n">
        <x:v>10</x:v>
      </x:c>
      <x:c r="I42" s="3" t="n">
        <x:v>1010</x:v>
      </x:c>
      <x:c r="J42" s="3" t="n">
        <x:v>10</x:v>
      </x:c>
      <x:c r="K42" s="3" t="n">
        <x:v>11</x:v>
      </x:c>
      <x:c r="L42" s="3" t="n">
        <x:v>1011</x:v>
      </x:c>
      <x:c r="M42" s="60" t="n">
        <x:v>0.78</x:v>
      </x:c>
      <x:c r="N42" s="3"/>
      <x:c r="O42" s="3"/>
      <x:c r="P42" s="3"/>
      <x:c r="Q42" s="3"/>
      <x:c r="R42" s="3"/>
    </x:row>
    <x:row r="43" ht="21" customHeight="1">
      <x:c r="A43" s="3" t="n">
        <x:v>36</x:v>
      </x:c>
      <x:c r="B43" s="3" t="str">
        <x:v>西侧发卡弯</x:v>
      </x:c>
      <x:c r="C43" s="3" t="n">
        <x:v>9</x:v>
      </x:c>
      <x:c r="D43" s="3" t="n">
        <x:v>12</x:v>
      </x:c>
      <x:c r="E43" s="3" t="str">
        <x:v>L9</x:v>
      </x:c>
      <x:c r="F43" s="3" t="str">
        <x:v>→</x:v>
      </x:c>
      <x:c r="G43" s="3" t="n">
        <x:v>8</x:v>
      </x:c>
      <x:c r="H43" s="3" t="n">
        <x:v>12</x:v>
      </x:c>
      <x:c r="I43" s="3" t="n">
        <x:v>812</x:v>
      </x:c>
      <x:c r="J43" s="3" t="n">
        <x:v>9</x:v>
      </x:c>
      <x:c r="K43" s="3" t="n">
        <x:v>12</x:v>
      </x:c>
      <x:c r="L43" s="3" t="n">
        <x:v>912</x:v>
      </x:c>
      <x:c r="M43" s="60" t="n">
        <x:v>0.78</x:v>
      </x:c>
      <x:c r="N43" s="3"/>
      <x:c r="O43" s="3"/>
      <x:c r="P43" s="3"/>
      <x:c r="Q43" s="3"/>
      <x:c r="R43" s="3"/>
    </x:row>
    <x:row r="44" ht="21" customHeight="1">
      <x:c r="A44" s="3" t="n">
        <x:v>37</x:v>
      </x:c>
      <x:c r="B44" s="3" t="str">
        <x:v>西侧发卡弯</x:v>
      </x:c>
      <x:c r="C44" s="3" t="n">
        <x:v>9</x:v>
      </x:c>
      <x:c r="D44" s="3" t="n">
        <x:v>13</x:v>
      </x:c>
      <x:c r="E44" s="3" t="str">
        <x:v>M9</x:v>
      </x:c>
      <x:c r="F44" s="3" t="str">
        <x:v>→</x:v>
      </x:c>
      <x:c r="G44" s="3" t="n">
        <x:v>8</x:v>
      </x:c>
      <x:c r="H44" s="3" t="n">
        <x:v>13</x:v>
      </x:c>
      <x:c r="I44" s="3" t="n">
        <x:v>813</x:v>
      </x:c>
      <x:c r="J44" s="3" t="n">
        <x:v>9</x:v>
      </x:c>
      <x:c r="K44" s="3" t="n">
        <x:v>13</x:v>
      </x:c>
      <x:c r="L44" s="3" t="n">
        <x:v>913</x:v>
      </x:c>
      <x:c r="M44" s="60" t="n">
        <x:v>0.78</x:v>
      </x:c>
      <x:c r="N44" s="3"/>
      <x:c r="O44" s="3"/>
      <x:c r="P44" s="3"/>
      <x:c r="Q44" s="3"/>
      <x:c r="R44" s="3"/>
    </x:row>
    <x:row r="45" ht="21" customHeight="1">
      <x:c r="A45" s="3" t="n">
        <x:v>38</x:v>
      </x:c>
      <x:c r="B45" s="3" t="str">
        <x:v>西侧发卡弯</x:v>
      </x:c>
      <x:c r="C45" s="3" t="n">
        <x:v>9</x:v>
      </x:c>
      <x:c r="D45" s="3" t="n">
        <x:v>14</x:v>
      </x:c>
      <x:c r="E45" s="3" t="str">
        <x:v>N9</x:v>
      </x:c>
      <x:c r="F45" s="3" t="str">
        <x:v>→</x:v>
      </x:c>
      <x:c r="G45" s="3" t="n">
        <x:v>8</x:v>
      </x:c>
      <x:c r="H45" s="3" t="n">
        <x:v>14</x:v>
      </x:c>
      <x:c r="I45" s="3" t="n">
        <x:v>814</x:v>
      </x:c>
      <x:c r="J45" s="3" t="n">
        <x:v>9</x:v>
      </x:c>
      <x:c r="K45" s="3" t="n">
        <x:v>14</x:v>
      </x:c>
      <x:c r="L45" s="3" t="n">
        <x:v>914</x:v>
      </x:c>
      <x:c r="M45" s="60" t="n">
        <x:v>0.78</x:v>
      </x:c>
      <x:c r="N45" s="3"/>
      <x:c r="O45" s="3"/>
      <x:c r="P45" s="3"/>
      <x:c r="Q45" s="3"/>
      <x:c r="R45" s="3"/>
    </x:row>
    <x:row r="46" ht="21" customHeight="1">
      <x:c r="A46" s="3" t="n">
        <x:v>39</x:v>
      </x:c>
      <x:c r="B46" s="3" t="str">
        <x:v>西侧发卡弯</x:v>
      </x:c>
      <x:c r="C46" s="3" t="n">
        <x:v>9</x:v>
      </x:c>
      <x:c r="D46" s="3" t="n">
        <x:v>15</x:v>
      </x:c>
      <x:c r="E46" s="3" t="str">
        <x:v>O9</x:v>
      </x:c>
      <x:c r="F46" s="3" t="str">
        <x:v>→</x:v>
      </x:c>
      <x:c r="G46" s="3" t="n">
        <x:v>8</x:v>
      </x:c>
      <x:c r="H46" s="3" t="n">
        <x:v>15</x:v>
      </x:c>
      <x:c r="I46" s="3" t="n">
        <x:v>815</x:v>
      </x:c>
      <x:c r="J46" s="3" t="n">
        <x:v>9</x:v>
      </x:c>
      <x:c r="K46" s="3" t="n">
        <x:v>15</x:v>
      </x:c>
      <x:c r="L46" s="3" t="n">
        <x:v>915</x:v>
      </x:c>
      <x:c r="M46" s="60" t="n">
        <x:v>0.78</x:v>
      </x:c>
      <x:c r="N46" s="3"/>
      <x:c r="O46" s="3"/>
      <x:c r="P46" s="3"/>
      <x:c r="Q46" s="3"/>
      <x:c r="R46" s="3"/>
    </x:row>
    <x:row r="47" ht="21" customHeight="1">
      <x:c r="A47" s="3" t="n">
        <x:v>40</x:v>
      </x:c>
      <x:c r="B47" s="3" t="str">
        <x:v>西侧发卡弯</x:v>
      </x:c>
      <x:c r="C47" s="3" t="n">
        <x:v>9</x:v>
      </x:c>
      <x:c r="D47" s="3" t="n">
        <x:v>16</x:v>
      </x:c>
      <x:c r="E47" s="3" t="str">
        <x:v>P9</x:v>
      </x:c>
      <x:c r="F47" s="3" t="str">
        <x:v>→</x:v>
      </x:c>
      <x:c r="G47" s="3" t="n">
        <x:v>8</x:v>
      </x:c>
      <x:c r="H47" s="3" t="n">
        <x:v>16</x:v>
      </x:c>
      <x:c r="I47" s="3" t="n">
        <x:v>816</x:v>
      </x:c>
      <x:c r="J47" s="3" t="n">
        <x:v>9</x:v>
      </x:c>
      <x:c r="K47" s="3" t="n">
        <x:v>16</x:v>
      </x:c>
      <x:c r="L47" s="3" t="n">
        <x:v>916</x:v>
      </x:c>
      <x:c r="M47" s="60" t="n">
        <x:v>0.78</x:v>
      </x:c>
      <x:c r="N47" s="3"/>
      <x:c r="O47" s="3"/>
      <x:c r="P47" s="3"/>
      <x:c r="Q47" s="3"/>
      <x:c r="R47" s="3"/>
    </x:row>
    <x:row r="48" ht="21" customHeight="1">
      <x:c r="A48" s="3" t="n">
        <x:v>41</x:v>
      </x:c>
      <x:c r="B48" s="3" t="str">
        <x:v>西侧发卡弯</x:v>
      </x:c>
      <x:c r="C48" s="3" t="n">
        <x:v>9</x:v>
      </x:c>
      <x:c r="D48" s="3" t="n">
        <x:v>17</x:v>
      </x:c>
      <x:c r="E48" s="3" t="str">
        <x:v>Q9</x:v>
      </x:c>
      <x:c r="F48" s="3" t="str">
        <x:v>→</x:v>
      </x:c>
      <x:c r="G48" s="3" t="n">
        <x:v>8</x:v>
      </x:c>
      <x:c r="H48" s="3" t="n">
        <x:v>17</x:v>
      </x:c>
      <x:c r="I48" s="3" t="n">
        <x:v>817</x:v>
      </x:c>
      <x:c r="J48" s="3" t="n">
        <x:v>9</x:v>
      </x:c>
      <x:c r="K48" s="3" t="n">
        <x:v>17</x:v>
      </x:c>
      <x:c r="L48" s="3" t="n">
        <x:v>917</x:v>
      </x:c>
      <x:c r="M48" s="60" t="n">
        <x:v>0.78</x:v>
      </x:c>
      <x:c r="N48" s="3"/>
      <x:c r="O48" s="3"/>
      <x:c r="P48" s="3"/>
      <x:c r="Q48" s="3"/>
      <x:c r="R48" s="3"/>
    </x:row>
    <x:row r="49" ht="21" customHeight="1">
      <x:c r="A49" s="3" t="n">
        <x:v>42</x:v>
      </x:c>
      <x:c r="B49" s="3" t="str">
        <x:v>西侧发卡弯</x:v>
      </x:c>
      <x:c r="C49" s="3" t="n">
        <x:v>9</x:v>
      </x:c>
      <x:c r="D49" s="3" t="n">
        <x:v>18</x:v>
      </x:c>
      <x:c r="E49" s="3" t="str">
        <x:v>R9</x:v>
      </x:c>
      <x:c r="F49" s="3" t="str">
        <x:v>→</x:v>
      </x:c>
      <x:c r="G49" s="3" t="n">
        <x:v>8</x:v>
      </x:c>
      <x:c r="H49" s="3" t="n">
        <x:v>18</x:v>
      </x:c>
      <x:c r="I49" s="3" t="n">
        <x:v>818</x:v>
      </x:c>
      <x:c r="J49" s="3" t="n">
        <x:v>9</x:v>
      </x:c>
      <x:c r="K49" s="3" t="n">
        <x:v>18</x:v>
      </x:c>
      <x:c r="L49" s="3" t="n">
        <x:v>918</x:v>
      </x:c>
      <x:c r="M49" s="60" t="n">
        <x:v>0.78</x:v>
      </x:c>
      <x:c r="N49" s="3"/>
      <x:c r="O49" s="3"/>
      <x:c r="P49" s="3"/>
      <x:c r="Q49" s="3"/>
      <x:c r="R49" s="3"/>
    </x:row>
    <x:row r="50" ht="21" customHeight="1">
      <x:c r="A50" s="3" t="n">
        <x:v>43</x:v>
      </x:c>
      <x:c r="B50" s="3" t="str">
        <x:v>西侧发卡弯</x:v>
      </x:c>
      <x:c r="C50" s="3" t="n">
        <x:v>10</x:v>
      </x:c>
      <x:c r="D50" s="3" t="n">
        <x:v>19</x:v>
      </x:c>
      <x:c r="E50" s="3" t="str">
        <x:v>S10</x:v>
      </x:c>
      <x:c r="F50" s="3" t="str">
        <x:v>↓</x:v>
      </x:c>
      <x:c r="G50" s="3" t="n">
        <x:v>10</x:v>
      </x:c>
      <x:c r="H50" s="3" t="n">
        <x:v>20</x:v>
      </x:c>
      <x:c r="I50" s="3" t="n">
        <x:v>1020</x:v>
      </x:c>
      <x:c r="J50" s="3" t="n">
        <x:v>10</x:v>
      </x:c>
      <x:c r="K50" s="3" t="n">
        <x:v>19</x:v>
      </x:c>
      <x:c r="L50" s="3" t="n">
        <x:v>1019</x:v>
      </x:c>
      <x:c r="M50" s="60" t="n">
        <x:v>0.78</x:v>
      </x:c>
      <x:c r="N50" s="3"/>
      <x:c r="O50" s="3"/>
      <x:c r="P50" s="3"/>
      <x:c r="Q50" s="3"/>
      <x:c r="R50" s="3"/>
    </x:row>
    <x:row r="51" ht="21" customHeight="1">
      <x:c r="A51" s="3" t="n">
        <x:v>44</x:v>
      </x:c>
      <x:c r="B51" s="3" t="str">
        <x:v>中段下行弯</x:v>
      </x:c>
      <x:c r="C51" s="3" t="n">
        <x:v>11</x:v>
      </x:c>
      <x:c r="D51" s="3" t="n">
        <x:v>20</x:v>
      </x:c>
      <x:c r="E51" s="3" t="str">
        <x:v>T11</x:v>
      </x:c>
      <x:c r="F51" s="3" t="str">
        <x:v>↓</x:v>
      </x:c>
      <x:c r="G51" s="3" t="n">
        <x:v>11</x:v>
      </x:c>
      <x:c r="H51" s="3" t="n">
        <x:v>19</x:v>
      </x:c>
      <x:c r="I51" s="3" t="n">
        <x:v>1119</x:v>
      </x:c>
      <x:c r="J51" s="3" t="n">
        <x:v>11</x:v>
      </x:c>
      <x:c r="K51" s="3" t="n">
        <x:v>20</x:v>
      </x:c>
      <x:c r="L51" s="3" t="n">
        <x:v>1120</x:v>
      </x:c>
      <x:c r="M51" s="60" t="n">
        <x:v>0.78</x:v>
      </x:c>
      <x:c r="N51" s="3"/>
      <x:c r="O51" s="3"/>
      <x:c r="P51" s="3"/>
      <x:c r="Q51" s="3"/>
      <x:c r="R51" s="3"/>
    </x:row>
    <x:row r="52" ht="21" customHeight="1">
      <x:c r="A52" s="3" t="n">
        <x:v>45</x:v>
      </x:c>
      <x:c r="B52" s="3" t="str">
        <x:v>中段下行弯</x:v>
      </x:c>
      <x:c r="C52" s="3" t="n">
        <x:v>12</x:v>
      </x:c>
      <x:c r="D52" s="3" t="n">
        <x:v>20</x:v>
      </x:c>
      <x:c r="E52" s="3" t="str">
        <x:v>T12</x:v>
      </x:c>
      <x:c r="F52" s="3" t="str">
        <x:v>↓</x:v>
      </x:c>
      <x:c r="G52" s="3" t="n">
        <x:v>12</x:v>
      </x:c>
      <x:c r="H52" s="3" t="n">
        <x:v>19</x:v>
      </x:c>
      <x:c r="I52" s="3" t="n">
        <x:v>1219</x:v>
      </x:c>
      <x:c r="J52" s="3" t="n">
        <x:v>12</x:v>
      </x:c>
      <x:c r="K52" s="3" t="n">
        <x:v>20</x:v>
      </x:c>
      <x:c r="L52" s="3" t="n">
        <x:v>1220</x:v>
      </x:c>
      <x:c r="M52" s="60" t="n">
        <x:v>0.78</x:v>
      </x:c>
      <x:c r="N52" s="3"/>
      <x:c r="O52" s="3"/>
      <x:c r="P52" s="3"/>
      <x:c r="Q52" s="3"/>
      <x:c r="R52" s="3"/>
    </x:row>
    <x:row r="53" ht="21" customHeight="1">
      <x:c r="A53" s="3" t="n">
        <x:v>46</x:v>
      </x:c>
      <x:c r="B53" s="3" t="str">
        <x:v>中段下行弯</x:v>
      </x:c>
      <x:c r="C53" s="3" t="n">
        <x:v>13</x:v>
      </x:c>
      <x:c r="D53" s="3" t="n">
        <x:v>20</x:v>
      </x:c>
      <x:c r="E53" s="3" t="str">
        <x:v>T13</x:v>
      </x:c>
      <x:c r="F53" s="3" t="str">
        <x:v>↓</x:v>
      </x:c>
      <x:c r="G53" s="3" t="n">
        <x:v>13</x:v>
      </x:c>
      <x:c r="H53" s="3" t="n">
        <x:v>19</x:v>
      </x:c>
      <x:c r="I53" s="3" t="n">
        <x:v>1319</x:v>
      </x:c>
      <x:c r="J53" s="3" t="n">
        <x:v>13</x:v>
      </x:c>
      <x:c r="K53" s="3" t="n">
        <x:v>20</x:v>
      </x:c>
      <x:c r="L53" s="3" t="n">
        <x:v>1320</x:v>
      </x:c>
      <x:c r="M53" s="60" t="n">
        <x:v>1</x:v>
      </x:c>
      <x:c r="N53" s="3"/>
      <x:c r="O53" s="3"/>
      <x:c r="P53" s="3"/>
      <x:c r="Q53" s="3"/>
      <x:c r="R53" s="3"/>
    </x:row>
    <x:row r="54" ht="21" customHeight="1">
      <x:c r="A54" s="3" t="n">
        <x:v>47</x:v>
      </x:c>
      <x:c r="B54" s="3" t="str">
        <x:v>中段下行弯</x:v>
      </x:c>
      <x:c r="C54" s="3" t="n">
        <x:v>14</x:v>
      </x:c>
      <x:c r="D54" s="3" t="n">
        <x:v>20</x:v>
      </x:c>
      <x:c r="E54" s="3" t="str">
        <x:v>T14</x:v>
      </x:c>
      <x:c r="F54" s="3" t="str">
        <x:v>↓</x:v>
      </x:c>
      <x:c r="G54" s="3" t="n">
        <x:v>14</x:v>
      </x:c>
      <x:c r="H54" s="3" t="n">
        <x:v>19</x:v>
      </x:c>
      <x:c r="I54" s="3" t="n">
        <x:v>1419</x:v>
      </x:c>
      <x:c r="J54" s="3" t="n">
        <x:v>14</x:v>
      </x:c>
      <x:c r="K54" s="3" t="n">
        <x:v>20</x:v>
      </x:c>
      <x:c r="L54" s="3" t="n">
        <x:v>1420</x:v>
      </x:c>
      <x:c r="M54" s="60" t="n">
        <x:v>1</x:v>
      </x:c>
      <x:c r="N54" s="3"/>
      <x:c r="O54" s="3"/>
      <x:c r="P54" s="3"/>
      <x:c r="Q54" s="3"/>
      <x:c r="R54" s="3"/>
    </x:row>
    <x:row r="55" ht="21" customHeight="1">
      <x:c r="A55" s="3" t="n">
        <x:v>48</x:v>
      </x:c>
      <x:c r="B55" s="3" t="str">
        <x:v>中央高速直道</x:v>
      </x:c>
      <x:c r="C55" s="3" t="n">
        <x:v>15</x:v>
      </x:c>
      <x:c r="D55" s="3" t="n">
        <x:v>21</x:v>
      </x:c>
      <x:c r="E55" s="3" t="str">
        <x:v>U15</x:v>
      </x:c>
      <x:c r="F55" s="3" t="str">
        <x:v>→</x:v>
      </x:c>
      <x:c r="G55" s="3" t="n">
        <x:v>16</x:v>
      </x:c>
      <x:c r="H55" s="3" t="n">
        <x:v>21</x:v>
      </x:c>
      <x:c r="I55" s="3" t="n">
        <x:v>1621</x:v>
      </x:c>
      <x:c r="J55" s="3" t="n">
        <x:v>15</x:v>
      </x:c>
      <x:c r="K55" s="3" t="n">
        <x:v>21</x:v>
      </x:c>
      <x:c r="L55" s="3" t="n">
        <x:v>1521</x:v>
      </x:c>
      <x:c r="M55" s="60" t="n">
        <x:v>1</x:v>
      </x:c>
      <x:c r="N55" s="3"/>
      <x:c r="O55" s="3"/>
      <x:c r="P55" s="3"/>
      <x:c r="Q55" s="3"/>
      <x:c r="R55" s="3"/>
    </x:row>
    <x:row r="56" ht="21" customHeight="1">
      <x:c r="A56" s="3" t="n">
        <x:v>49</x:v>
      </x:c>
      <x:c r="B56" s="3" t="str">
        <x:v>中央高速直道</x:v>
      </x:c>
      <x:c r="C56" s="3" t="n">
        <x:v>15</x:v>
      </x:c>
      <x:c r="D56" s="3" t="n">
        <x:v>22</x:v>
      </x:c>
      <x:c r="E56" s="3" t="str">
        <x:v>V15</x:v>
      </x:c>
      <x:c r="F56" s="3" t="str">
        <x:v>→</x:v>
      </x:c>
      <x:c r="G56" s="3" t="n">
        <x:v>16</x:v>
      </x:c>
      <x:c r="H56" s="3" t="n">
        <x:v>22</x:v>
      </x:c>
      <x:c r="I56" s="3" t="n">
        <x:v>1622</x:v>
      </x:c>
      <x:c r="J56" s="3" t="n">
        <x:v>15</x:v>
      </x:c>
      <x:c r="K56" s="3" t="n">
        <x:v>22</x:v>
      </x:c>
      <x:c r="L56" s="3" t="n">
        <x:v>1522</x:v>
      </x:c>
      <x:c r="M56" s="60" t="n">
        <x:v>1</x:v>
      </x:c>
      <x:c r="N56" s="3"/>
      <x:c r="O56" s="3"/>
      <x:c r="P56" s="3"/>
      <x:c r="Q56" s="3"/>
      <x:c r="R56" s="3"/>
    </x:row>
    <x:row r="57" ht="21" customHeight="1">
      <x:c r="A57" s="3" t="n">
        <x:v>50</x:v>
      </x:c>
      <x:c r="B57" s="3" t="str">
        <x:v>中央高速直道</x:v>
      </x:c>
      <x:c r="C57" s="3" t="n">
        <x:v>15</x:v>
      </x:c>
      <x:c r="D57" s="3" t="n">
        <x:v>23</x:v>
      </x:c>
      <x:c r="E57" s="3" t="str">
        <x:v>W15</x:v>
      </x:c>
      <x:c r="F57" s="3" t="str">
        <x:v>→</x:v>
      </x:c>
      <x:c r="G57" s="3" t="n">
        <x:v>16</x:v>
      </x:c>
      <x:c r="H57" s="3" t="n">
        <x:v>23</x:v>
      </x:c>
      <x:c r="I57" s="3" t="n">
        <x:v>1623</x:v>
      </x:c>
      <x:c r="J57" s="3" t="n">
        <x:v>15</x:v>
      </x:c>
      <x:c r="K57" s="3" t="n">
        <x:v>23</x:v>
      </x:c>
      <x:c r="L57" s="3" t="n">
        <x:v>1523</x:v>
      </x:c>
      <x:c r="M57" s="60" t="n">
        <x:v>1</x:v>
      </x:c>
      <x:c r="N57" s="3"/>
      <x:c r="O57" s="3"/>
      <x:c r="P57" s="3"/>
      <x:c r="Q57" s="3"/>
      <x:c r="R57" s="3"/>
    </x:row>
    <x:row r="58" ht="21" customHeight="1">
      <x:c r="A58" s="3" t="n">
        <x:v>51</x:v>
      </x:c>
      <x:c r="B58" s="3" t="str">
        <x:v>中央高速直道</x:v>
      </x:c>
      <x:c r="C58" s="3" t="n">
        <x:v>15</x:v>
      </x:c>
      <x:c r="D58" s="3" t="n">
        <x:v>24</x:v>
      </x:c>
      <x:c r="E58" s="3" t="str">
        <x:v>X15</x:v>
      </x:c>
      <x:c r="F58" s="3" t="str">
        <x:v>→</x:v>
      </x:c>
      <x:c r="G58" s="3" t="n">
        <x:v>16</x:v>
      </x:c>
      <x:c r="H58" s="3" t="n">
        <x:v>24</x:v>
      </x:c>
      <x:c r="I58" s="3" t="n">
        <x:v>1624</x:v>
      </x:c>
      <x:c r="J58" s="3" t="n">
        <x:v>15</x:v>
      </x:c>
      <x:c r="K58" s="3" t="n">
        <x:v>24</x:v>
      </x:c>
      <x:c r="L58" s="3" t="n">
        <x:v>1524</x:v>
      </x:c>
      <x:c r="M58" s="60" t="n">
        <x:v>1</x:v>
      </x:c>
      <x:c r="N58" s="3"/>
      <x:c r="O58" s="3"/>
      <x:c r="P58" s="3"/>
      <x:c r="Q58" s="3"/>
      <x:c r="R58" s="3"/>
    </x:row>
    <x:row r="59" ht="21" customHeight="1">
      <x:c r="A59" s="3" t="n">
        <x:v>52</x:v>
      </x:c>
      <x:c r="B59" s="3" t="str">
        <x:v>中央高速直道</x:v>
      </x:c>
      <x:c r="C59" s="3" t="n">
        <x:v>15</x:v>
      </x:c>
      <x:c r="D59" s="3" t="n">
        <x:v>25</x:v>
      </x:c>
      <x:c r="E59" s="3" t="str">
        <x:v>Y15</x:v>
      </x:c>
      <x:c r="F59" s="3" t="str">
        <x:v>→</x:v>
      </x:c>
      <x:c r="G59" s="3" t="n">
        <x:v>16</x:v>
      </x:c>
      <x:c r="H59" s="3" t="n">
        <x:v>25</x:v>
      </x:c>
      <x:c r="I59" s="3" t="n">
        <x:v>1625</x:v>
      </x:c>
      <x:c r="J59" s="3" t="n">
        <x:v>15</x:v>
      </x:c>
      <x:c r="K59" s="3" t="n">
        <x:v>25</x:v>
      </x:c>
      <x:c r="L59" s="3" t="n">
        <x:v>1525</x:v>
      </x:c>
      <x:c r="M59" s="60" t="n">
        <x:v>1</x:v>
      </x:c>
      <x:c r="N59" s="3"/>
      <x:c r="O59" s="3"/>
      <x:c r="P59" s="3"/>
      <x:c r="Q59" s="3"/>
      <x:c r="R59" s="3"/>
    </x:row>
    <x:row r="60" ht="21" customHeight="1">
      <x:c r="A60" s="3" t="n">
        <x:v>53</x:v>
      </x:c>
      <x:c r="B60" s="3" t="str">
        <x:v>中央高速直道</x:v>
      </x:c>
      <x:c r="C60" s="3" t="n">
        <x:v>15</x:v>
      </x:c>
      <x:c r="D60" s="3" t="n">
        <x:v>26</x:v>
      </x:c>
      <x:c r="E60" s="3" t="str">
        <x:v>Z15</x:v>
      </x:c>
      <x:c r="F60" s="3" t="str">
        <x:v>→</x:v>
      </x:c>
      <x:c r="G60" s="3" t="n">
        <x:v>16</x:v>
      </x:c>
      <x:c r="H60" s="3" t="n">
        <x:v>26</x:v>
      </x:c>
      <x:c r="I60" s="3" t="n">
        <x:v>1626</x:v>
      </x:c>
      <x:c r="J60" s="3" t="n">
        <x:v>15</x:v>
      </x:c>
      <x:c r="K60" s="3" t="n">
        <x:v>26</x:v>
      </x:c>
      <x:c r="L60" s="3" t="n">
        <x:v>1526</x:v>
      </x:c>
      <x:c r="M60" s="60" t="n">
        <x:v>1</x:v>
      </x:c>
      <x:c r="N60" s="3"/>
      <x:c r="O60" s="3"/>
      <x:c r="P60" s="3"/>
      <x:c r="Q60" s="3"/>
      <x:c r="R60" s="3"/>
    </x:row>
    <x:row r="61" ht="21" customHeight="1">
      <x:c r="A61" t="n">
        <x:v>54</x:v>
      </x:c>
      <x:c r="B61" t="str">
        <x:v>中央高速直道</x:v>
      </x:c>
      <x:c r="C61" t="n">
        <x:v>15</x:v>
      </x:c>
      <x:c r="D61" t="n">
        <x:v>27</x:v>
      </x:c>
      <x:c r="E61" t="str">
        <x:v>AA15</x:v>
      </x:c>
      <x:c r="F61" t="str">
        <x:v>→</x:v>
      </x:c>
      <x:c r="G61" t="n">
        <x:v>16</x:v>
      </x:c>
      <x:c r="H61" t="n">
        <x:v>27</x:v>
      </x:c>
      <x:c r="I61" t="n">
        <x:v>1627</x:v>
      </x:c>
      <x:c r="J61" t="n">
        <x:v>15</x:v>
      </x:c>
      <x:c r="K61" t="n">
        <x:v>27</x:v>
      </x:c>
      <x:c r="L61" t="n">
        <x:v>1527</x:v>
      </x:c>
      <x:c r="M61" s="70" t="n">
        <x:v>1</x:v>
      </x:c>
    </x:row>
    <x:row r="62" ht="21" customHeight="1">
      <x:c r="A62" t="n">
        <x:v>55</x:v>
      </x:c>
      <x:c r="B62" t="str">
        <x:v>中央高速直道</x:v>
      </x:c>
      <x:c r="C62" t="n">
        <x:v>15</x:v>
      </x:c>
      <x:c r="D62" t="n">
        <x:v>28</x:v>
      </x:c>
      <x:c r="E62" t="str">
        <x:v>AB15</x:v>
      </x:c>
      <x:c r="F62" t="str">
        <x:v>→</x:v>
      </x:c>
      <x:c r="G62" t="n">
        <x:v>16</x:v>
      </x:c>
      <x:c r="H62" t="n">
        <x:v>28</x:v>
      </x:c>
      <x:c r="I62" t="n">
        <x:v>1628</x:v>
      </x:c>
      <x:c r="J62" t="n">
        <x:v>15</x:v>
      </x:c>
      <x:c r="K62" t="n">
        <x:v>28</x:v>
      </x:c>
      <x:c r="L62" t="n">
        <x:v>1528</x:v>
      </x:c>
      <x:c r="M62" s="70" t="n">
        <x:v>1</x:v>
      </x:c>
    </x:row>
    <x:row r="63" ht="21" customHeight="1">
      <x:c r="A63" t="n">
        <x:v>56</x:v>
      </x:c>
      <x:c r="B63" t="str">
        <x:v>中央高速直道</x:v>
      </x:c>
      <x:c r="C63" t="n">
        <x:v>15</x:v>
      </x:c>
      <x:c r="D63" t="n">
        <x:v>29</x:v>
      </x:c>
      <x:c r="E63" t="str">
        <x:v>AC15</x:v>
      </x:c>
      <x:c r="F63" t="str">
        <x:v>→</x:v>
      </x:c>
      <x:c r="G63" t="n">
        <x:v>16</x:v>
      </x:c>
      <x:c r="H63" t="n">
        <x:v>29</x:v>
      </x:c>
      <x:c r="I63" t="n">
        <x:v>1629</x:v>
      </x:c>
      <x:c r="J63" t="n">
        <x:v>15</x:v>
      </x:c>
      <x:c r="K63" t="n">
        <x:v>29</x:v>
      </x:c>
      <x:c r="L63" t="n">
        <x:v>1529</x:v>
      </x:c>
      <x:c r="M63" s="70" t="n">
        <x:v>1</x:v>
      </x:c>
    </x:row>
    <x:row r="64" ht="21" customHeight="1">
      <x:c r="A64" t="n">
        <x:v>57</x:v>
      </x:c>
      <x:c r="B64" t="str">
        <x:v>中央高速直道</x:v>
      </x:c>
      <x:c r="C64" t="n">
        <x:v>15</x:v>
      </x:c>
      <x:c r="D64" t="n">
        <x:v>30</x:v>
      </x:c>
      <x:c r="E64" t="str">
        <x:v>AD15</x:v>
      </x:c>
      <x:c r="F64" t="str">
        <x:v>→</x:v>
      </x:c>
      <x:c r="G64" t="n">
        <x:v>16</x:v>
      </x:c>
      <x:c r="H64" t="n">
        <x:v>30</x:v>
      </x:c>
      <x:c r="I64" t="n">
        <x:v>1630</x:v>
      </x:c>
      <x:c r="J64" t="n">
        <x:v>15</x:v>
      </x:c>
      <x:c r="K64" t="n">
        <x:v>30</x:v>
      </x:c>
      <x:c r="L64" t="n">
        <x:v>1530</x:v>
      </x:c>
      <x:c r="M64" s="70" t="n">
        <x:v>1</x:v>
      </x:c>
    </x:row>
    <x:row r="65" ht="21" customHeight="1">
      <x:c r="A65" t="n">
        <x:v>58</x:v>
      </x:c>
      <x:c r="B65" t="str">
        <x:v>中央高速直道</x:v>
      </x:c>
      <x:c r="C65" t="n">
        <x:v>15</x:v>
      </x:c>
      <x:c r="D65" t="n">
        <x:v>31</x:v>
      </x:c>
      <x:c r="E65" t="str">
        <x:v>AE15</x:v>
      </x:c>
      <x:c r="F65" t="str">
        <x:v>→</x:v>
      </x:c>
      <x:c r="G65" t="n">
        <x:v>16</x:v>
      </x:c>
      <x:c r="H65" t="n">
        <x:v>31</x:v>
      </x:c>
      <x:c r="I65" t="n">
        <x:v>1631</x:v>
      </x:c>
      <x:c r="J65" t="n">
        <x:v>15</x:v>
      </x:c>
      <x:c r="K65" t="n">
        <x:v>31</x:v>
      </x:c>
      <x:c r="L65" t="n">
        <x:v>1531</x:v>
      </x:c>
      <x:c r="M65" s="70" t="n">
        <x:v>1</x:v>
      </x:c>
    </x:row>
    <x:row r="66" ht="21" customHeight="1">
      <x:c r="A66" t="n">
        <x:v>59</x:v>
      </x:c>
      <x:c r="B66" t="str">
        <x:v>中央高速直道</x:v>
      </x:c>
      <x:c r="C66" t="n">
        <x:v>15</x:v>
      </x:c>
      <x:c r="D66" t="n">
        <x:v>32</x:v>
      </x:c>
      <x:c r="E66" t="str">
        <x:v>AF15</x:v>
      </x:c>
      <x:c r="F66" t="str">
        <x:v>→</x:v>
      </x:c>
      <x:c r="G66" t="n">
        <x:v>16</x:v>
      </x:c>
      <x:c r="H66" t="n">
        <x:v>32</x:v>
      </x:c>
      <x:c r="I66" t="n">
        <x:v>1632</x:v>
      </x:c>
      <x:c r="J66" t="n">
        <x:v>15</x:v>
      </x:c>
      <x:c r="K66" t="n">
        <x:v>32</x:v>
      </x:c>
      <x:c r="L66" t="n">
        <x:v>1532</x:v>
      </x:c>
      <x:c r="M66" s="70" t="n">
        <x:v>1</x:v>
      </x:c>
    </x:row>
    <x:row r="67" ht="21" customHeight="1">
      <x:c r="A67" t="n">
        <x:v>60</x:v>
      </x:c>
      <x:c r="B67" t="str">
        <x:v>中央高速直道</x:v>
      </x:c>
      <x:c r="C67" t="n">
        <x:v>15</x:v>
      </x:c>
      <x:c r="D67" t="n">
        <x:v>33</x:v>
      </x:c>
      <x:c r="E67" t="str">
        <x:v>AG15</x:v>
      </x:c>
      <x:c r="F67" t="str">
        <x:v>→</x:v>
      </x:c>
      <x:c r="G67" t="n">
        <x:v>16</x:v>
      </x:c>
      <x:c r="H67" t="n">
        <x:v>33</x:v>
      </x:c>
      <x:c r="I67" t="n">
        <x:v>1633</x:v>
      </x:c>
      <x:c r="J67" t="n">
        <x:v>15</x:v>
      </x:c>
      <x:c r="K67" t="n">
        <x:v>33</x:v>
      </x:c>
      <x:c r="L67" t="n">
        <x:v>1533</x:v>
      </x:c>
      <x:c r="M67" s="70" t="n">
        <x:v>1</x:v>
      </x:c>
    </x:row>
    <x:row r="68" ht="21" customHeight="1">
      <x:c r="A68" t="n">
        <x:v>61</x:v>
      </x:c>
      <x:c r="B68" t="str">
        <x:v>中央高速直道</x:v>
      </x:c>
      <x:c r="C68" t="n">
        <x:v>15</x:v>
      </x:c>
      <x:c r="D68" t="n">
        <x:v>34</x:v>
      </x:c>
      <x:c r="E68" t="str">
        <x:v>AH15</x:v>
      </x:c>
      <x:c r="F68" t="str">
        <x:v>→</x:v>
      </x:c>
      <x:c r="G68" t="n">
        <x:v>16</x:v>
      </x:c>
      <x:c r="H68" t="n">
        <x:v>34</x:v>
      </x:c>
      <x:c r="I68" t="n">
        <x:v>1634</x:v>
      </x:c>
      <x:c r="J68" t="n">
        <x:v>15</x:v>
      </x:c>
      <x:c r="K68" t="n">
        <x:v>34</x:v>
      </x:c>
      <x:c r="L68" t="n">
        <x:v>1534</x:v>
      </x:c>
      <x:c r="M68" s="70" t="n">
        <x:v>1</x:v>
      </x:c>
    </x:row>
    <x:row r="69" ht="21" customHeight="1">
      <x:c r="A69" t="n">
        <x:v>62</x:v>
      </x:c>
      <x:c r="B69" t="str">
        <x:v>中央高速直道</x:v>
      </x:c>
      <x:c r="C69" t="n">
        <x:v>15</x:v>
      </x:c>
      <x:c r="D69" t="n">
        <x:v>35</x:v>
      </x:c>
      <x:c r="E69" t="str">
        <x:v>AI15</x:v>
      </x:c>
      <x:c r="F69" t="str">
        <x:v>→</x:v>
      </x:c>
      <x:c r="G69" t="n">
        <x:v>16</x:v>
      </x:c>
      <x:c r="H69" t="n">
        <x:v>35</x:v>
      </x:c>
      <x:c r="I69" t="n">
        <x:v>1635</x:v>
      </x:c>
      <x:c r="J69" t="n">
        <x:v>15</x:v>
      </x:c>
      <x:c r="K69" t="n">
        <x:v>35</x:v>
      </x:c>
      <x:c r="L69" t="n">
        <x:v>1535</x:v>
      </x:c>
      <x:c r="M69" s="70" t="n">
        <x:v>1</x:v>
      </x:c>
    </x:row>
    <x:row r="70" ht="21" customHeight="1">
      <x:c r="A70" t="n">
        <x:v>63</x:v>
      </x:c>
      <x:c r="B70" t="str">
        <x:v>中央高速直道</x:v>
      </x:c>
      <x:c r="C70" t="n">
        <x:v>15</x:v>
      </x:c>
      <x:c r="D70" t="n">
        <x:v>36</x:v>
      </x:c>
      <x:c r="E70" t="str">
        <x:v>AJ15</x:v>
      </x:c>
      <x:c r="F70" t="str">
        <x:v>→</x:v>
      </x:c>
      <x:c r="G70" t="n">
        <x:v>16</x:v>
      </x:c>
      <x:c r="H70" t="n">
        <x:v>36</x:v>
      </x:c>
      <x:c r="I70" t="n">
        <x:v>1636</x:v>
      </x:c>
      <x:c r="J70" t="n">
        <x:v>15</x:v>
      </x:c>
      <x:c r="K70" t="n">
        <x:v>36</x:v>
      </x:c>
      <x:c r="L70" t="n">
        <x:v>1536</x:v>
      </x:c>
      <x:c r="M70" s="70" t="n">
        <x:v>1</x:v>
      </x:c>
    </x:row>
    <x:row r="71" ht="21" customHeight="1">
      <x:c r="A71" t="n">
        <x:v>64</x:v>
      </x:c>
      <x:c r="B71" t="str">
        <x:v>中央高速直道</x:v>
      </x:c>
      <x:c r="C71" t="n">
        <x:v>15</x:v>
      </x:c>
      <x:c r="D71" t="n">
        <x:v>37</x:v>
      </x:c>
      <x:c r="E71" t="str">
        <x:v>AK15</x:v>
      </x:c>
      <x:c r="F71" t="str">
        <x:v>→</x:v>
      </x:c>
      <x:c r="G71" t="n">
        <x:v>16</x:v>
      </x:c>
      <x:c r="H71" t="n">
        <x:v>37</x:v>
      </x:c>
      <x:c r="I71" t="n">
        <x:v>1637</x:v>
      </x:c>
      <x:c r="J71" t="n">
        <x:v>15</x:v>
      </x:c>
      <x:c r="K71" t="n">
        <x:v>37</x:v>
      </x:c>
      <x:c r="L71" t="n">
        <x:v>1537</x:v>
      </x:c>
      <x:c r="M71" s="70" t="n">
        <x:v>1</x:v>
      </x:c>
    </x:row>
    <x:row r="72" ht="21" customHeight="1">
      <x:c r="A72" t="n">
        <x:v>65</x:v>
      </x:c>
      <x:c r="B72" t="str">
        <x:v>中央高速直道</x:v>
      </x:c>
      <x:c r="C72" t="n">
        <x:v>15</x:v>
      </x:c>
      <x:c r="D72" t="n">
        <x:v>38</x:v>
      </x:c>
      <x:c r="E72" t="str">
        <x:v>AL15</x:v>
      </x:c>
      <x:c r="F72" t="str">
        <x:v>→</x:v>
      </x:c>
      <x:c r="G72" t="n">
        <x:v>16</x:v>
      </x:c>
      <x:c r="H72" t="n">
        <x:v>38</x:v>
      </x:c>
      <x:c r="I72" t="n">
        <x:v>1638</x:v>
      </x:c>
      <x:c r="J72" t="n">
        <x:v>15</x:v>
      </x:c>
      <x:c r="K72" t="n">
        <x:v>38</x:v>
      </x:c>
      <x:c r="L72" t="n">
        <x:v>1538</x:v>
      </x:c>
      <x:c r="M72" s="70" t="n">
        <x:v>1</x:v>
      </x:c>
    </x:row>
    <x:row r="73" ht="21" customHeight="1">
      <x:c r="A73" t="n">
        <x:v>66</x:v>
      </x:c>
      <x:c r="B73" t="str">
        <x:v>中央高速直道</x:v>
      </x:c>
      <x:c r="C73" t="n">
        <x:v>15</x:v>
      </x:c>
      <x:c r="D73" t="n">
        <x:v>39</x:v>
      </x:c>
      <x:c r="E73" t="str">
        <x:v>AM15</x:v>
      </x:c>
      <x:c r="F73" t="str">
        <x:v>→</x:v>
      </x:c>
      <x:c r="G73" t="n">
        <x:v>16</x:v>
      </x:c>
      <x:c r="H73" t="n">
        <x:v>39</x:v>
      </x:c>
      <x:c r="I73" t="n">
        <x:v>1639</x:v>
      </x:c>
      <x:c r="J73" t="n">
        <x:v>15</x:v>
      </x:c>
      <x:c r="K73" t="n">
        <x:v>39</x:v>
      </x:c>
      <x:c r="L73" t="n">
        <x:v>1539</x:v>
      </x:c>
      <x:c r="M73" s="70" t="n">
        <x:v>1</x:v>
      </x:c>
    </x:row>
    <x:row r="74" ht="21" customHeight="1">
      <x:c r="A74" t="n">
        <x:v>67</x:v>
      </x:c>
      <x:c r="B74" t="str">
        <x:v>中央高速直道</x:v>
      </x:c>
      <x:c r="C74" t="n">
        <x:v>15</x:v>
      </x:c>
      <x:c r="D74" t="n">
        <x:v>40</x:v>
      </x:c>
      <x:c r="E74" t="str">
        <x:v>AN15</x:v>
      </x:c>
      <x:c r="F74" t="str">
        <x:v>→</x:v>
      </x:c>
      <x:c r="G74" t="n">
        <x:v>16</x:v>
      </x:c>
      <x:c r="H74" t="n">
        <x:v>40</x:v>
      </x:c>
      <x:c r="I74" t="n">
        <x:v>1640</x:v>
      </x:c>
      <x:c r="J74" t="n">
        <x:v>15</x:v>
      </x:c>
      <x:c r="K74" t="n">
        <x:v>40</x:v>
      </x:c>
      <x:c r="L74" t="n">
        <x:v>1540</x:v>
      </x:c>
      <x:c r="M74" s="70" t="n">
        <x:v>1</x:v>
      </x:c>
    </x:row>
    <x:row r="75" ht="21" customHeight="1">
      <x:c r="A75" t="n">
        <x:v>68</x:v>
      </x:c>
      <x:c r="B75" t="str">
        <x:v>中央高速直道</x:v>
      </x:c>
      <x:c r="C75" t="n">
        <x:v>15</x:v>
      </x:c>
      <x:c r="D75" t="n">
        <x:v>41</x:v>
      </x:c>
      <x:c r="E75" t="str">
        <x:v>AO15</x:v>
      </x:c>
      <x:c r="F75" t="str">
        <x:v>→</x:v>
      </x:c>
      <x:c r="G75" t="n">
        <x:v>16</x:v>
      </x:c>
      <x:c r="H75" t="n">
        <x:v>41</x:v>
      </x:c>
      <x:c r="I75" t="n">
        <x:v>1641</x:v>
      </x:c>
      <x:c r="J75" t="n">
        <x:v>15</x:v>
      </x:c>
      <x:c r="K75" t="n">
        <x:v>41</x:v>
      </x:c>
      <x:c r="L75" t="n">
        <x:v>1541</x:v>
      </x:c>
      <x:c r="M75" s="70" t="n">
        <x:v>1</x:v>
      </x:c>
    </x:row>
    <x:row r="76" ht="21" customHeight="1">
      <x:c r="A76" t="n">
        <x:v>69</x:v>
      </x:c>
      <x:c r="B76" t="str">
        <x:v>中央高速直道</x:v>
      </x:c>
      <x:c r="C76" t="n">
        <x:v>15</x:v>
      </x:c>
      <x:c r="D76" t="n">
        <x:v>42</x:v>
      </x:c>
      <x:c r="E76" t="str">
        <x:v>AP15</x:v>
      </x:c>
      <x:c r="F76" t="str">
        <x:v>→</x:v>
      </x:c>
      <x:c r="G76" t="n">
        <x:v>16</x:v>
      </x:c>
      <x:c r="H76" t="n">
        <x:v>42</x:v>
      </x:c>
      <x:c r="I76" t="n">
        <x:v>1642</x:v>
      </x:c>
      <x:c r="J76" t="n">
        <x:v>15</x:v>
      </x:c>
      <x:c r="K76" t="n">
        <x:v>42</x:v>
      </x:c>
      <x:c r="L76" t="n">
        <x:v>1542</x:v>
      </x:c>
      <x:c r="M76" s="70" t="n">
        <x:v>1</x:v>
      </x:c>
    </x:row>
    <x:row r="77" ht="21" customHeight="1">
      <x:c r="A77" t="n">
        <x:v>70</x:v>
      </x:c>
      <x:c r="B77" t="str">
        <x:v>中央高速直道</x:v>
      </x:c>
      <x:c r="C77" t="n">
        <x:v>15</x:v>
      </x:c>
      <x:c r="D77" t="n">
        <x:v>43</x:v>
      </x:c>
      <x:c r="E77" t="str">
        <x:v>AQ15</x:v>
      </x:c>
      <x:c r="F77" t="str">
        <x:v>→</x:v>
      </x:c>
      <x:c r="G77" t="n">
        <x:v>16</x:v>
      </x:c>
      <x:c r="H77" t="n">
        <x:v>43</x:v>
      </x:c>
      <x:c r="I77" t="n">
        <x:v>1643</x:v>
      </x:c>
      <x:c r="J77" t="n">
        <x:v>15</x:v>
      </x:c>
      <x:c r="K77" t="n">
        <x:v>43</x:v>
      </x:c>
      <x:c r="L77" t="n">
        <x:v>1543</x:v>
      </x:c>
      <x:c r="M77" s="70" t="n">
        <x:v>0.78</x:v>
      </x:c>
    </x:row>
    <x:row r="78" ht="21" customHeight="1">
      <x:c r="A78" t="n">
        <x:v>71</x:v>
      </x:c>
      <x:c r="B78" t="str">
        <x:v>中央高速直道</x:v>
      </x:c>
      <x:c r="C78" t="n">
        <x:v>15</x:v>
      </x:c>
      <x:c r="D78" t="n">
        <x:v>44</x:v>
      </x:c>
      <x:c r="E78" t="str">
        <x:v>AR15</x:v>
      </x:c>
      <x:c r="F78" t="str">
        <x:v>→</x:v>
      </x:c>
      <x:c r="G78" t="n">
        <x:v>16</x:v>
      </x:c>
      <x:c r="H78" t="n">
        <x:v>44</x:v>
      </x:c>
      <x:c r="I78" t="n">
        <x:v>1644</x:v>
      </x:c>
      <x:c r="J78" t="n">
        <x:v>15</x:v>
      </x:c>
      <x:c r="K78" t="n">
        <x:v>44</x:v>
      </x:c>
      <x:c r="L78" t="n">
        <x:v>1544</x:v>
      </x:c>
      <x:c r="M78" s="70" t="n">
        <x:v>0.78</x:v>
      </x:c>
    </x:row>
    <x:row r="79" ht="21" customHeight="1">
      <x:c r="A79" t="n">
        <x:v>72</x:v>
      </x:c>
      <x:c r="B79" t="str">
        <x:v>东侧上行弯</x:v>
      </x:c>
      <x:c r="C79" t="n">
        <x:v>14</x:v>
      </x:c>
      <x:c r="D79" t="n">
        <x:v>45</x:v>
      </x:c>
      <x:c r="E79" t="str">
        <x:v>AS14</x:v>
      </x:c>
      <x:c r="F79" t="str">
        <x:v>↑</x:v>
      </x:c>
      <x:c r="G79" t="n">
        <x:v>14</x:v>
      </x:c>
      <x:c r="H79" t="n">
        <x:v>46</x:v>
      </x:c>
      <x:c r="I79" t="n">
        <x:v>1446</x:v>
      </x:c>
      <x:c r="J79" t="n">
        <x:v>14</x:v>
      </x:c>
      <x:c r="K79" t="n">
        <x:v>45</x:v>
      </x:c>
      <x:c r="L79" t="n">
        <x:v>1445</x:v>
      </x:c>
      <x:c r="M79" s="70" t="n">
        <x:v>0.78</x:v>
      </x:c>
    </x:row>
    <x:row r="80" ht="21" customHeight="1">
      <x:c r="A80" t="n">
        <x:v>73</x:v>
      </x:c>
      <x:c r="B80" t="str">
        <x:v>东侧上行弯</x:v>
      </x:c>
      <x:c r="C80" t="n">
        <x:v>13</x:v>
      </x:c>
      <x:c r="D80" t="n">
        <x:v>45</x:v>
      </x:c>
      <x:c r="E80" t="str">
        <x:v>AS13</x:v>
      </x:c>
      <x:c r="F80" t="str">
        <x:v>↑</x:v>
      </x:c>
      <x:c r="G80" t="n">
        <x:v>13</x:v>
      </x:c>
      <x:c r="H80" t="n">
        <x:v>46</x:v>
      </x:c>
      <x:c r="I80" t="n">
        <x:v>1346</x:v>
      </x:c>
      <x:c r="J80" t="n">
        <x:v>13</x:v>
      </x:c>
      <x:c r="K80" t="n">
        <x:v>45</x:v>
      </x:c>
      <x:c r="L80" t="n">
        <x:v>1345</x:v>
      </x:c>
      <x:c r="M80" s="70" t="n">
        <x:v>0.78</x:v>
      </x:c>
    </x:row>
    <x:row r="81" ht="21" customHeight="1">
      <x:c r="A81" t="n">
        <x:v>74</x:v>
      </x:c>
      <x:c r="B81" t="str">
        <x:v>东侧上行弯</x:v>
      </x:c>
      <x:c r="C81" t="n">
        <x:v>12</x:v>
      </x:c>
      <x:c r="D81" t="n">
        <x:v>45</x:v>
      </x:c>
      <x:c r="E81" t="str">
        <x:v>AS12</x:v>
      </x:c>
      <x:c r="F81" t="str">
        <x:v>↑</x:v>
      </x:c>
      <x:c r="G81" t="n">
        <x:v>12</x:v>
      </x:c>
      <x:c r="H81" t="n">
        <x:v>46</x:v>
      </x:c>
      <x:c r="I81" t="n">
        <x:v>1246</x:v>
      </x:c>
      <x:c r="J81" t="n">
        <x:v>12</x:v>
      </x:c>
      <x:c r="K81" t="n">
        <x:v>45</x:v>
      </x:c>
      <x:c r="L81" t="n">
        <x:v>1245</x:v>
      </x:c>
      <x:c r="M81" s="70" t="n">
        <x:v>0.78</x:v>
      </x:c>
    </x:row>
    <x:row r="82" ht="21" customHeight="1">
      <x:c r="A82" t="n">
        <x:v>75</x:v>
      </x:c>
      <x:c r="B82" t="str">
        <x:v>东侧上行弯</x:v>
      </x:c>
      <x:c r="C82" t="n">
        <x:v>11</x:v>
      </x:c>
      <x:c r="D82" t="n">
        <x:v>45</x:v>
      </x:c>
      <x:c r="E82" t="str">
        <x:v>AS11</x:v>
      </x:c>
      <x:c r="F82" t="str">
        <x:v>↑</x:v>
      </x:c>
      <x:c r="G82" t="n">
        <x:v>11</x:v>
      </x:c>
      <x:c r="H82" t="n">
        <x:v>46</x:v>
      </x:c>
      <x:c r="I82" t="n">
        <x:v>1146</x:v>
      </x:c>
      <x:c r="J82" t="n">
        <x:v>11</x:v>
      </x:c>
      <x:c r="K82" t="n">
        <x:v>45</x:v>
      </x:c>
      <x:c r="L82" t="n">
        <x:v>1145</x:v>
      </x:c>
      <x:c r="M82" s="70" t="n">
        <x:v>0.78</x:v>
      </x:c>
    </x:row>
    <x:row r="83" ht="21" customHeight="1">
      <x:c r="A83" t="n">
        <x:v>76</x:v>
      </x:c>
      <x:c r="B83" t="str">
        <x:v>东侧上行弯</x:v>
      </x:c>
      <x:c r="C83" t="n">
        <x:v>10</x:v>
      </x:c>
      <x:c r="D83" t="n">
        <x:v>45</x:v>
      </x:c>
      <x:c r="E83" t="str">
        <x:v>AS10</x:v>
      </x:c>
      <x:c r="F83" t="str">
        <x:v>↑</x:v>
      </x:c>
      <x:c r="G83" t="n">
        <x:v>10</x:v>
      </x:c>
      <x:c r="H83" t="n">
        <x:v>46</x:v>
      </x:c>
      <x:c r="I83" t="n">
        <x:v>1046</x:v>
      </x:c>
      <x:c r="J83" t="n">
        <x:v>10</x:v>
      </x:c>
      <x:c r="K83" t="n">
        <x:v>45</x:v>
      </x:c>
      <x:c r="L83" t="n">
        <x:v>1045</x:v>
      </x:c>
      <x:c r="M83" s="70" t="n">
        <x:v>0.78</x:v>
      </x:c>
    </x:row>
    <x:row r="84" ht="21" customHeight="1">
      <x:c r="A84" t="n">
        <x:v>77</x:v>
      </x:c>
      <x:c r="B84" t="str">
        <x:v>东侧发卡弯</x:v>
      </x:c>
      <x:c r="C84" t="n">
        <x:v>9</x:v>
      </x:c>
      <x:c r="D84" t="n">
        <x:v>46</x:v>
      </x:c>
      <x:c r="E84" t="str">
        <x:v>AT9</x:v>
      </x:c>
      <x:c r="F84" t="str">
        <x:v>→</x:v>
      </x:c>
      <x:c r="G84" t="n">
        <x:v>8</x:v>
      </x:c>
      <x:c r="H84" t="n">
        <x:v>46</x:v>
      </x:c>
      <x:c r="I84" t="n">
        <x:v>846</x:v>
      </x:c>
      <x:c r="J84" t="n">
        <x:v>9</x:v>
      </x:c>
      <x:c r="K84" t="n">
        <x:v>46</x:v>
      </x:c>
      <x:c r="L84" t="n">
        <x:v>946</x:v>
      </x:c>
      <x:c r="M84" s="70" t="n">
        <x:v>0.78</x:v>
      </x:c>
    </x:row>
    <x:row r="85" ht="21" customHeight="1">
      <x:c r="A85" t="n">
        <x:v>78</x:v>
      </x:c>
      <x:c r="B85" t="str">
        <x:v>东侧发卡弯</x:v>
      </x:c>
      <x:c r="C85" t="n">
        <x:v>9</x:v>
      </x:c>
      <x:c r="D85" t="n">
        <x:v>47</x:v>
      </x:c>
      <x:c r="E85" t="str">
        <x:v>AU9</x:v>
      </x:c>
      <x:c r="F85" t="str">
        <x:v>→</x:v>
      </x:c>
      <x:c r="G85" t="n">
        <x:v>8</x:v>
      </x:c>
      <x:c r="H85" t="n">
        <x:v>47</x:v>
      </x:c>
      <x:c r="I85" t="n">
        <x:v>847</x:v>
      </x:c>
      <x:c r="J85" t="n">
        <x:v>9</x:v>
      </x:c>
      <x:c r="K85" t="n">
        <x:v>47</x:v>
      </x:c>
      <x:c r="L85" t="n">
        <x:v>947</x:v>
      </x:c>
      <x:c r="M85" s="70" t="n">
        <x:v>0.78</x:v>
      </x:c>
    </x:row>
    <x:row r="86" ht="21" customHeight="1">
      <x:c r="A86" t="n">
        <x:v>79</x:v>
      </x:c>
      <x:c r="B86" t="str">
        <x:v>东侧发卡弯</x:v>
      </x:c>
      <x:c r="C86" t="n">
        <x:v>9</x:v>
      </x:c>
      <x:c r="D86" t="n">
        <x:v>48</x:v>
      </x:c>
      <x:c r="E86" t="str">
        <x:v>AV9</x:v>
      </x:c>
      <x:c r="F86" t="str">
        <x:v>→</x:v>
      </x:c>
      <x:c r="G86" t="n">
        <x:v>8</x:v>
      </x:c>
      <x:c r="H86" t="n">
        <x:v>48</x:v>
      </x:c>
      <x:c r="I86" t="n">
        <x:v>848</x:v>
      </x:c>
      <x:c r="J86" t="n">
        <x:v>9</x:v>
      </x:c>
      <x:c r="K86" t="n">
        <x:v>48</x:v>
      </x:c>
      <x:c r="L86" t="n">
        <x:v>948</x:v>
      </x:c>
      <x:c r="M86" s="70" t="n">
        <x:v>0.78</x:v>
      </x:c>
    </x:row>
    <x:row r="87" ht="21" customHeight="1">
      <x:c r="A87" t="n">
        <x:v>80</x:v>
      </x:c>
      <x:c r="B87" t="str">
        <x:v>东侧发卡弯</x:v>
      </x:c>
      <x:c r="C87" t="n">
        <x:v>9</x:v>
      </x:c>
      <x:c r="D87" t="n">
        <x:v>49</x:v>
      </x:c>
      <x:c r="E87" t="str">
        <x:v>AW9</x:v>
      </x:c>
      <x:c r="F87" t="str">
        <x:v>→</x:v>
      </x:c>
      <x:c r="G87" t="n">
        <x:v>8</x:v>
      </x:c>
      <x:c r="H87" t="n">
        <x:v>49</x:v>
      </x:c>
      <x:c r="I87" t="n">
        <x:v>849</x:v>
      </x:c>
      <x:c r="J87" t="n">
        <x:v>9</x:v>
      </x:c>
      <x:c r="K87" t="n">
        <x:v>49</x:v>
      </x:c>
      <x:c r="L87" t="n">
        <x:v>949</x:v>
      </x:c>
      <x:c r="M87" s="70" t="n">
        <x:v>0.78</x:v>
      </x:c>
    </x:row>
    <x:row r="88" ht="21" customHeight="1">
      <x:c r="A88" t="n">
        <x:v>81</x:v>
      </x:c>
      <x:c r="B88" t="str">
        <x:v>东侧发卡弯</x:v>
      </x:c>
      <x:c r="C88" t="n">
        <x:v>10</x:v>
      </x:c>
      <x:c r="D88" t="n">
        <x:v>50</x:v>
      </x:c>
      <x:c r="E88" t="str">
        <x:v>AX10</x:v>
      </x:c>
      <x:c r="F88" t="str">
        <x:v>↓</x:v>
      </x:c>
      <x:c r="G88" t="n">
        <x:v>10</x:v>
      </x:c>
      <x:c r="H88" t="n">
        <x:v>51</x:v>
      </x:c>
      <x:c r="I88" t="n">
        <x:v>1051</x:v>
      </x:c>
      <x:c r="J88" t="n">
        <x:v>10</x:v>
      </x:c>
      <x:c r="K88" t="n">
        <x:v>50</x:v>
      </x:c>
      <x:c r="L88" t="n">
        <x:v>1050</x:v>
      </x:c>
      <x:c r="M88" s="70" t="n">
        <x:v>0.78</x:v>
      </x:c>
    </x:row>
    <x:row r="89" ht="21" customHeight="1">
      <x:c r="A89" t="n">
        <x:v>82</x:v>
      </x:c>
      <x:c r="B89" t="str">
        <x:v>东侧长直道</x:v>
      </x:c>
      <x:c r="C89" t="n">
        <x:v>11</x:v>
      </x:c>
      <x:c r="D89" t="n">
        <x:v>51</x:v>
      </x:c>
      <x:c r="E89" t="str">
        <x:v>AY11</x:v>
      </x:c>
      <x:c r="F89" t="str">
        <x:v>↓</x:v>
      </x:c>
      <x:c r="G89" t="n">
        <x:v>11</x:v>
      </x:c>
      <x:c r="H89" t="n">
        <x:v>52</x:v>
      </x:c>
      <x:c r="I89" t="n">
        <x:v>1152</x:v>
      </x:c>
      <x:c r="J89" t="n">
        <x:v>11</x:v>
      </x:c>
      <x:c r="K89" t="n">
        <x:v>51</x:v>
      </x:c>
      <x:c r="L89" t="n">
        <x:v>1151</x:v>
      </x:c>
      <x:c r="M89" s="70" t="n">
        <x:v>0.78</x:v>
      </x:c>
    </x:row>
    <x:row r="90" ht="21" customHeight="1">
      <x:c r="A90" t="n">
        <x:v>83</x:v>
      </x:c>
      <x:c r="B90" t="str">
        <x:v>东侧长直道</x:v>
      </x:c>
      <x:c r="C90" t="n">
        <x:v>12</x:v>
      </x:c>
      <x:c r="D90" t="n">
        <x:v>51</x:v>
      </x:c>
      <x:c r="E90" t="str">
        <x:v>AY12</x:v>
      </x:c>
      <x:c r="F90" t="str">
        <x:v>↓</x:v>
      </x:c>
      <x:c r="G90" t="n">
        <x:v>12</x:v>
      </x:c>
      <x:c r="H90" t="n">
        <x:v>52</x:v>
      </x:c>
      <x:c r="I90" t="n">
        <x:v>1252</x:v>
      </x:c>
      <x:c r="J90" t="n">
        <x:v>12</x:v>
      </x:c>
      <x:c r="K90" t="n">
        <x:v>51</x:v>
      </x:c>
      <x:c r="L90" t="n">
        <x:v>1251</x:v>
      </x:c>
      <x:c r="M90" s="70" t="n">
        <x:v>0.78</x:v>
      </x:c>
    </x:row>
    <x:row r="91" ht="21" customHeight="1">
      <x:c r="A91" t="n">
        <x:v>84</x:v>
      </x:c>
      <x:c r="B91" t="str">
        <x:v>东侧长直道</x:v>
      </x:c>
      <x:c r="C91" t="n">
        <x:v>13</x:v>
      </x:c>
      <x:c r="D91" t="n">
        <x:v>51</x:v>
      </x:c>
      <x:c r="E91" t="str">
        <x:v>AY13</x:v>
      </x:c>
      <x:c r="F91" t="str">
        <x:v>↓</x:v>
      </x:c>
      <x:c r="G91" t="n">
        <x:v>13</x:v>
      </x:c>
      <x:c r="H91" t="n">
        <x:v>52</x:v>
      </x:c>
      <x:c r="I91" t="n">
        <x:v>1352</x:v>
      </x:c>
      <x:c r="J91" t="n">
        <x:v>13</x:v>
      </x:c>
      <x:c r="K91" t="n">
        <x:v>51</x:v>
      </x:c>
      <x:c r="L91" t="n">
        <x:v>1351</x:v>
      </x:c>
      <x:c r="M91" s="70" t="n">
        <x:v>1</x:v>
      </x:c>
    </x:row>
    <x:row r="92" ht="21" customHeight="1">
      <x:c r="A92" t="n">
        <x:v>85</x:v>
      </x:c>
      <x:c r="B92" t="str">
        <x:v>东侧长直道</x:v>
      </x:c>
      <x:c r="C92" t="n">
        <x:v>14</x:v>
      </x:c>
      <x:c r="D92" t="n">
        <x:v>51</x:v>
      </x:c>
      <x:c r="E92" t="str">
        <x:v>AY14</x:v>
      </x:c>
      <x:c r="F92" t="str">
        <x:v>↓</x:v>
      </x:c>
      <x:c r="G92" t="n">
        <x:v>14</x:v>
      </x:c>
      <x:c r="H92" t="n">
        <x:v>52</x:v>
      </x:c>
      <x:c r="I92" t="n">
        <x:v>1452</x:v>
      </x:c>
      <x:c r="J92" t="n">
        <x:v>14</x:v>
      </x:c>
      <x:c r="K92" t="n">
        <x:v>51</x:v>
      </x:c>
      <x:c r="L92" t="n">
        <x:v>1451</x:v>
      </x:c>
      <x:c r="M92" s="70" t="n">
        <x:v>1</x:v>
      </x:c>
    </x:row>
    <x:row r="93" ht="21" customHeight="1">
      <x:c r="A93" t="n">
        <x:v>86</x:v>
      </x:c>
      <x:c r="B93" t="str">
        <x:v>东侧长直道</x:v>
      </x:c>
      <x:c r="C93" t="n">
        <x:v>15</x:v>
      </x:c>
      <x:c r="D93" t="n">
        <x:v>51</x:v>
      </x:c>
      <x:c r="E93" t="str">
        <x:v>AY15</x:v>
      </x:c>
      <x:c r="F93" t="str">
        <x:v>↓</x:v>
      </x:c>
      <x:c r="G93" t="n">
        <x:v>15</x:v>
      </x:c>
      <x:c r="H93" t="n">
        <x:v>52</x:v>
      </x:c>
      <x:c r="I93" t="n">
        <x:v>1552</x:v>
      </x:c>
      <x:c r="J93" t="n">
        <x:v>15</x:v>
      </x:c>
      <x:c r="K93" t="n">
        <x:v>51</x:v>
      </x:c>
      <x:c r="L93" t="n">
        <x:v>1551</x:v>
      </x:c>
      <x:c r="M93" s="70" t="n">
        <x:v>1</x:v>
      </x:c>
    </x:row>
    <x:row r="94" ht="21" customHeight="1">
      <x:c r="A94" t="n">
        <x:v>87</x:v>
      </x:c>
      <x:c r="B94" t="str">
        <x:v>东侧长直道</x:v>
      </x:c>
      <x:c r="C94" t="n">
        <x:v>16</x:v>
      </x:c>
      <x:c r="D94" t="n">
        <x:v>51</x:v>
      </x:c>
      <x:c r="E94" t="str">
        <x:v>AY16</x:v>
      </x:c>
      <x:c r="F94" t="str">
        <x:v>↓</x:v>
      </x:c>
      <x:c r="G94" t="n">
        <x:v>16</x:v>
      </x:c>
      <x:c r="H94" t="n">
        <x:v>52</x:v>
      </x:c>
      <x:c r="I94" t="n">
        <x:v>1652</x:v>
      </x:c>
      <x:c r="J94" t="n">
        <x:v>16</x:v>
      </x:c>
      <x:c r="K94" t="n">
        <x:v>51</x:v>
      </x:c>
      <x:c r="L94" t="n">
        <x:v>1651</x:v>
      </x:c>
      <x:c r="M94" s="70" t="n">
        <x:v>1</x:v>
      </x:c>
    </x:row>
    <x:row r="95" ht="21" customHeight="1">
      <x:c r="A95" t="n">
        <x:v>88</x:v>
      </x:c>
      <x:c r="B95" t="str">
        <x:v>东侧长直道</x:v>
      </x:c>
      <x:c r="C95" t="n">
        <x:v>17</x:v>
      </x:c>
      <x:c r="D95" t="n">
        <x:v>51</x:v>
      </x:c>
      <x:c r="E95" t="str">
        <x:v>AY17</x:v>
      </x:c>
      <x:c r="F95" t="str">
        <x:v>↓</x:v>
      </x:c>
      <x:c r="G95" t="n">
        <x:v>17</x:v>
      </x:c>
      <x:c r="H95" t="n">
        <x:v>52</x:v>
      </x:c>
      <x:c r="I95" t="n">
        <x:v>1752</x:v>
      </x:c>
      <x:c r="J95" t="n">
        <x:v>17</x:v>
      </x:c>
      <x:c r="K95" t="n">
        <x:v>51</x:v>
      </x:c>
      <x:c r="L95" t="n">
        <x:v>1751</x:v>
      </x:c>
      <x:c r="M95" s="70" t="n">
        <x:v>1</x:v>
      </x:c>
    </x:row>
    <x:row r="96" ht="21" customHeight="1">
      <x:c r="A96" t="n">
        <x:v>89</x:v>
      </x:c>
      <x:c r="B96" t="str">
        <x:v>东侧长直道</x:v>
      </x:c>
      <x:c r="C96" t="n">
        <x:v>18</x:v>
      </x:c>
      <x:c r="D96" t="n">
        <x:v>51</x:v>
      </x:c>
      <x:c r="E96" t="str">
        <x:v>AY18</x:v>
      </x:c>
      <x:c r="F96" t="str">
        <x:v>↓</x:v>
      </x:c>
      <x:c r="G96" t="n">
        <x:v>18</x:v>
      </x:c>
      <x:c r="H96" t="n">
        <x:v>52</x:v>
      </x:c>
      <x:c r="I96" t="n">
        <x:v>1852</x:v>
      </x:c>
      <x:c r="J96" t="n">
        <x:v>18</x:v>
      </x:c>
      <x:c r="K96" t="n">
        <x:v>51</x:v>
      </x:c>
      <x:c r="L96" t="n">
        <x:v>1851</x:v>
      </x:c>
      <x:c r="M96" s="70" t="n">
        <x:v>1</x:v>
      </x:c>
    </x:row>
    <x:row r="97" ht="21" customHeight="1">
      <x:c r="A97" t="n">
        <x:v>90</x:v>
      </x:c>
      <x:c r="B97" t="str">
        <x:v>东侧长直道</x:v>
      </x:c>
      <x:c r="C97" t="n">
        <x:v>19</x:v>
      </x:c>
      <x:c r="D97" t="n">
        <x:v>51</x:v>
      </x:c>
      <x:c r="E97" t="str">
        <x:v>AY19</x:v>
      </x:c>
      <x:c r="F97" t="str">
        <x:v>↓</x:v>
      </x:c>
      <x:c r="G97" t="n">
        <x:v>19</x:v>
      </x:c>
      <x:c r="H97" t="n">
        <x:v>52</x:v>
      </x:c>
      <x:c r="I97" t="n">
        <x:v>1952</x:v>
      </x:c>
      <x:c r="J97" t="n">
        <x:v>19</x:v>
      </x:c>
      <x:c r="K97" t="n">
        <x:v>51</x:v>
      </x:c>
      <x:c r="L97" t="n">
        <x:v>1951</x:v>
      </x:c>
      <x:c r="M97" s="70" t="n">
        <x:v>1</x:v>
      </x:c>
    </x:row>
    <x:row r="98" ht="21" customHeight="1">
      <x:c r="A98" t="n">
        <x:v>91</x:v>
      </x:c>
      <x:c r="B98" t="str">
        <x:v>东侧长直道</x:v>
      </x:c>
      <x:c r="C98" t="n">
        <x:v>20</x:v>
      </x:c>
      <x:c r="D98" t="n">
        <x:v>51</x:v>
      </x:c>
      <x:c r="E98" t="str">
        <x:v>AY20</x:v>
      </x:c>
      <x:c r="F98" t="str">
        <x:v>↓</x:v>
      </x:c>
      <x:c r="G98" t="n">
        <x:v>20</x:v>
      </x:c>
      <x:c r="H98" t="n">
        <x:v>52</x:v>
      </x:c>
      <x:c r="I98" t="n">
        <x:v>2052</x:v>
      </x:c>
      <x:c r="J98" t="n">
        <x:v>20</x:v>
      </x:c>
      <x:c r="K98" t="n">
        <x:v>51</x:v>
      </x:c>
      <x:c r="L98" t="n">
        <x:v>2051</x:v>
      </x:c>
      <x:c r="M98" s="70" t="n">
        <x:v>1</x:v>
      </x:c>
    </x:row>
    <x:row r="99" ht="21" customHeight="1">
      <x:c r="A99" t="n">
        <x:v>92</x:v>
      </x:c>
      <x:c r="B99" t="str">
        <x:v>东侧长直道</x:v>
      </x:c>
      <x:c r="C99" t="n">
        <x:v>21</x:v>
      </x:c>
      <x:c r="D99" t="n">
        <x:v>51</x:v>
      </x:c>
      <x:c r="E99" t="str">
        <x:v>AY21</x:v>
      </x:c>
      <x:c r="F99" t="str">
        <x:v>↓</x:v>
      </x:c>
      <x:c r="G99" t="n">
        <x:v>21</x:v>
      </x:c>
      <x:c r="H99" t="n">
        <x:v>52</x:v>
      </x:c>
      <x:c r="I99" t="n">
        <x:v>2152</x:v>
      </x:c>
      <x:c r="J99" t="n">
        <x:v>21</x:v>
      </x:c>
      <x:c r="K99" t="n">
        <x:v>51</x:v>
      </x:c>
      <x:c r="L99" t="n">
        <x:v>2151</x:v>
      </x:c>
      <x:c r="M99" s="70" t="n">
        <x:v>1</x:v>
      </x:c>
    </x:row>
    <x:row r="100" ht="21" customHeight="1">
      <x:c r="A100" t="n">
        <x:v>93</x:v>
      </x:c>
      <x:c r="B100" t="str">
        <x:v>东侧长直道</x:v>
      </x:c>
      <x:c r="C100" t="n">
        <x:v>22</x:v>
      </x:c>
      <x:c r="D100" t="n">
        <x:v>51</x:v>
      </x:c>
      <x:c r="E100" t="str">
        <x:v>AY22</x:v>
      </x:c>
      <x:c r="F100" t="str">
        <x:v>↓</x:v>
      </x:c>
      <x:c r="G100" t="n">
        <x:v>22</x:v>
      </x:c>
      <x:c r="H100" t="n">
        <x:v>52</x:v>
      </x:c>
      <x:c r="I100" t="n">
        <x:v>2252</x:v>
      </x:c>
      <x:c r="J100" t="n">
        <x:v>22</x:v>
      </x:c>
      <x:c r="K100" t="n">
        <x:v>51</x:v>
      </x:c>
      <x:c r="L100" t="n">
        <x:v>2251</x:v>
      </x:c>
      <x:c r="M100" s="70" t="n">
        <x:v>1</x:v>
      </x:c>
    </x:row>
    <x:row r="101" ht="21" customHeight="1">
      <x:c r="A101" t="n">
        <x:v>94</x:v>
      </x:c>
      <x:c r="B101" t="str">
        <x:v>东侧长直道</x:v>
      </x:c>
      <x:c r="C101" t="n">
        <x:v>23</x:v>
      </x:c>
      <x:c r="D101" t="n">
        <x:v>51</x:v>
      </x:c>
      <x:c r="E101" t="str">
        <x:v>AY23</x:v>
      </x:c>
      <x:c r="F101" t="str">
        <x:v>↓</x:v>
      </x:c>
      <x:c r="G101" t="n">
        <x:v>23</x:v>
      </x:c>
      <x:c r="H101" t="n">
        <x:v>52</x:v>
      </x:c>
      <x:c r="I101" t="n">
        <x:v>2352</x:v>
      </x:c>
      <x:c r="J101" t="n">
        <x:v>23</x:v>
      </x:c>
      <x:c r="K101" t="n">
        <x:v>51</x:v>
      </x:c>
      <x:c r="L101" t="n">
        <x:v>2351</x:v>
      </x:c>
      <x:c r="M101" s="70" t="n">
        <x:v>1</x:v>
      </x:c>
    </x:row>
    <x:row r="102" ht="21" customHeight="1">
      <x:c r="A102" t="n">
        <x:v>95</x:v>
      </x:c>
      <x:c r="B102" t="str">
        <x:v>东侧长直道</x:v>
      </x:c>
      <x:c r="C102" t="n">
        <x:v>24</x:v>
      </x:c>
      <x:c r="D102" t="n">
        <x:v>51</x:v>
      </x:c>
      <x:c r="E102" t="str">
        <x:v>AY24</x:v>
      </x:c>
      <x:c r="F102" t="str">
        <x:v>↓</x:v>
      </x:c>
      <x:c r="G102" t="n">
        <x:v>24</x:v>
      </x:c>
      <x:c r="H102" t="n">
        <x:v>52</x:v>
      </x:c>
      <x:c r="I102" t="n">
        <x:v>2452</x:v>
      </x:c>
      <x:c r="J102" t="n">
        <x:v>24</x:v>
      </x:c>
      <x:c r="K102" t="n">
        <x:v>51</x:v>
      </x:c>
      <x:c r="L102" t="n">
        <x:v>2451</x:v>
      </x:c>
      <x:c r="M102" s="70" t="n">
        <x:v>1</x:v>
      </x:c>
    </x:row>
    <x:row r="103" ht="21" customHeight="1">
      <x:c r="A103" t="n">
        <x:v>96</x:v>
      </x:c>
      <x:c r="B103" t="str">
        <x:v>东侧长直道</x:v>
      </x:c>
      <x:c r="C103" t="n">
        <x:v>25</x:v>
      </x:c>
      <x:c r="D103" t="n">
        <x:v>51</x:v>
      </x:c>
      <x:c r="E103" t="str">
        <x:v>AY25</x:v>
      </x:c>
      <x:c r="F103" t="str">
        <x:v>↓</x:v>
      </x:c>
      <x:c r="G103" t="n">
        <x:v>25</x:v>
      </x:c>
      <x:c r="H103" t="n">
        <x:v>52</x:v>
      </x:c>
      <x:c r="I103" t="n">
        <x:v>2552</x:v>
      </x:c>
      <x:c r="J103" t="n">
        <x:v>25</x:v>
      </x:c>
      <x:c r="K103" t="n">
        <x:v>51</x:v>
      </x:c>
      <x:c r="L103" t="n">
        <x:v>2551</x:v>
      </x:c>
      <x:c r="M103" s="70" t="n">
        <x:v>1</x:v>
      </x:c>
    </x:row>
    <x:row r="104" ht="21" customHeight="1">
      <x:c r="A104" t="n">
        <x:v>97</x:v>
      </x:c>
      <x:c r="B104" t="str">
        <x:v>东侧长直道</x:v>
      </x:c>
      <x:c r="C104" t="n">
        <x:v>26</x:v>
      </x:c>
      <x:c r="D104" t="n">
        <x:v>51</x:v>
      </x:c>
      <x:c r="E104" t="str">
        <x:v>AY26</x:v>
      </x:c>
      <x:c r="F104" t="str">
        <x:v>↓</x:v>
      </x:c>
      <x:c r="G104" t="n">
        <x:v>26</x:v>
      </x:c>
      <x:c r="H104" t="n">
        <x:v>52</x:v>
      </x:c>
      <x:c r="I104" t="n">
        <x:v>2652</x:v>
      </x:c>
      <x:c r="J104" t="n">
        <x:v>26</x:v>
      </x:c>
      <x:c r="K104" t="n">
        <x:v>51</x:v>
      </x:c>
      <x:c r="L104" t="n">
        <x:v>2651</x:v>
      </x:c>
      <x:c r="M104" s="70" t="n">
        <x:v>1</x:v>
      </x:c>
    </x:row>
    <x:row r="105" ht="21" customHeight="1">
      <x:c r="A105" t="n">
        <x:v>98</x:v>
      </x:c>
      <x:c r="B105" t="str">
        <x:v>东侧长直道</x:v>
      </x:c>
      <x:c r="C105" t="n">
        <x:v>27</x:v>
      </x:c>
      <x:c r="D105" t="n">
        <x:v>51</x:v>
      </x:c>
      <x:c r="E105" t="str">
        <x:v>AY27</x:v>
      </x:c>
      <x:c r="F105" t="str">
        <x:v>↓</x:v>
      </x:c>
      <x:c r="G105" t="n">
        <x:v>27</x:v>
      </x:c>
      <x:c r="H105" t="n">
        <x:v>52</x:v>
      </x:c>
      <x:c r="I105" t="n">
        <x:v>2752</x:v>
      </x:c>
      <x:c r="J105" t="n">
        <x:v>27</x:v>
      </x:c>
      <x:c r="K105" t="n">
        <x:v>51</x:v>
      </x:c>
      <x:c r="L105" t="n">
        <x:v>2751</x:v>
      </x:c>
      <x:c r="M105" s="70" t="n">
        <x:v>1</x:v>
      </x:c>
    </x:row>
    <x:row r="106" ht="21" customHeight="1">
      <x:c r="A106" t="n">
        <x:v>99</x:v>
      </x:c>
      <x:c r="B106" t="str">
        <x:v>东侧长直道</x:v>
      </x:c>
      <x:c r="C106" t="n">
        <x:v>28</x:v>
      </x:c>
      <x:c r="D106" t="n">
        <x:v>51</x:v>
      </x:c>
      <x:c r="E106" t="str">
        <x:v>AY28</x:v>
      </x:c>
      <x:c r="F106" t="str">
        <x:v>↓</x:v>
      </x:c>
      <x:c r="G106" t="n">
        <x:v>28</x:v>
      </x:c>
      <x:c r="H106" t="n">
        <x:v>52</x:v>
      </x:c>
      <x:c r="I106" t="n">
        <x:v>2852</x:v>
      </x:c>
      <x:c r="J106" t="n">
        <x:v>28</x:v>
      </x:c>
      <x:c r="K106" t="n">
        <x:v>51</x:v>
      </x:c>
      <x:c r="L106" t="n">
        <x:v>2851</x:v>
      </x:c>
      <x:c r="M106" s="70" t="n">
        <x:v>1</x:v>
      </x:c>
    </x:row>
    <x:row r="107" ht="21" customHeight="1">
      <x:c r="A107" t="n">
        <x:v>100</x:v>
      </x:c>
      <x:c r="B107" t="str">
        <x:v>东侧长直道</x:v>
      </x:c>
      <x:c r="C107" t="n">
        <x:v>29</x:v>
      </x:c>
      <x:c r="D107" t="n">
        <x:v>51</x:v>
      </x:c>
      <x:c r="E107" t="str">
        <x:v>AY29</x:v>
      </x:c>
      <x:c r="F107" t="str">
        <x:v>↓</x:v>
      </x:c>
      <x:c r="G107" t="n">
        <x:v>29</x:v>
      </x:c>
      <x:c r="H107" t="n">
        <x:v>52</x:v>
      </x:c>
      <x:c r="I107" t="n">
        <x:v>2952</x:v>
      </x:c>
      <x:c r="J107" t="n">
        <x:v>29</x:v>
      </x:c>
      <x:c r="K107" t="n">
        <x:v>51</x:v>
      </x:c>
      <x:c r="L107" t="n">
        <x:v>2951</x:v>
      </x:c>
      <x:c r="M107" s="70" t="n">
        <x:v>0.78</x:v>
      </x:c>
    </x:row>
    <x:row r="108" ht="21" customHeight="1">
      <x:c r="A108" t="n">
        <x:v>101</x:v>
      </x:c>
      <x:c r="B108" t="str">
        <x:v>发车大直道</x:v>
      </x:c>
      <x:c r="C108" t="n">
        <x:v>30</x:v>
      </x:c>
      <x:c r="D108" t="n">
        <x:v>50</x:v>
      </x:c>
      <x:c r="E108" t="str">
        <x:v>AX30</x:v>
      </x:c>
      <x:c r="F108" t="str">
        <x:v>←</x:v>
      </x:c>
      <x:c r="G108" t="n">
        <x:v>31</x:v>
      </x:c>
      <x:c r="H108" t="n">
        <x:v>50</x:v>
      </x:c>
      <x:c r="I108" t="n">
        <x:v>3150</x:v>
      </x:c>
      <x:c r="J108" t="n">
        <x:v>30</x:v>
      </x:c>
      <x:c r="K108" t="n">
        <x:v>50</x:v>
      </x:c>
      <x:c r="L108" t="n">
        <x:v>3050</x:v>
      </x:c>
      <x:c r="M108" s="70" t="n">
        <x:v>0.78</x:v>
      </x:c>
    </x:row>
    <x:row r="109" ht="21" customHeight="1">
      <x:c r="A109" t="n">
        <x:v>102</x:v>
      </x:c>
      <x:c r="B109" t="str">
        <x:v>发车大直道</x:v>
      </x:c>
      <x:c r="C109" t="n">
        <x:v>30</x:v>
      </x:c>
      <x:c r="D109" t="n">
        <x:v>49</x:v>
      </x:c>
      <x:c r="E109" t="str">
        <x:v>AW30</x:v>
      </x:c>
      <x:c r="F109" t="str">
        <x:v>←</x:v>
      </x:c>
      <x:c r="G109" t="n">
        <x:v>31</x:v>
      </x:c>
      <x:c r="H109" t="n">
        <x:v>49</x:v>
      </x:c>
      <x:c r="I109" t="n">
        <x:v>3149</x:v>
      </x:c>
      <x:c r="J109" t="n">
        <x:v>30</x:v>
      </x:c>
      <x:c r="K109" t="n">
        <x:v>49</x:v>
      </x:c>
      <x:c r="L109" t="n">
        <x:v>3049</x:v>
      </x:c>
      <x:c r="M109" s="70" t="n">
        <x:v>0.78</x:v>
      </x:c>
    </x:row>
    <x:row r="110" ht="21" customHeight="1">
      <x:c r="A110" t="n">
        <x:v>103</x:v>
      </x:c>
      <x:c r="B110" t="str">
        <x:v>发车大直道</x:v>
      </x:c>
      <x:c r="C110" t="n">
        <x:v>30</x:v>
      </x:c>
      <x:c r="D110" t="n">
        <x:v>48</x:v>
      </x:c>
      <x:c r="E110" t="str">
        <x:v>AV30</x:v>
      </x:c>
      <x:c r="F110" t="str">
        <x:v>←</x:v>
      </x:c>
      <x:c r="G110" t="n">
        <x:v>31</x:v>
      </x:c>
      <x:c r="H110" t="n">
        <x:v>48</x:v>
      </x:c>
      <x:c r="I110" t="n">
        <x:v>3148</x:v>
      </x:c>
      <x:c r="J110" t="n">
        <x:v>30</x:v>
      </x:c>
      <x:c r="K110" t="n">
        <x:v>48</x:v>
      </x:c>
      <x:c r="L110" t="n">
        <x:v>3048</x:v>
      </x:c>
      <x:c r="M110" s="70" t="n">
        <x:v>1</x:v>
      </x:c>
    </x:row>
    <x:row r="111" ht="21" customHeight="1">
      <x:c r="A111" t="n">
        <x:v>104</x:v>
      </x:c>
      <x:c r="B111" t="str">
        <x:v>发车大直道</x:v>
      </x:c>
      <x:c r="C111" t="n">
        <x:v>30</x:v>
      </x:c>
      <x:c r="D111" t="n">
        <x:v>47</x:v>
      </x:c>
      <x:c r="E111" t="str">
        <x:v>AU30</x:v>
      </x:c>
      <x:c r="F111" t="str">
        <x:v>←</x:v>
      </x:c>
      <x:c r="G111" t="n">
        <x:v>31</x:v>
      </x:c>
      <x:c r="H111" t="n">
        <x:v>47</x:v>
      </x:c>
      <x:c r="I111" t="n">
        <x:v>3147</x:v>
      </x:c>
      <x:c r="J111" t="n">
        <x:v>30</x:v>
      </x:c>
      <x:c r="K111" t="n">
        <x:v>47</x:v>
      </x:c>
      <x:c r="L111" t="n">
        <x:v>3047</x:v>
      </x:c>
      <x:c r="M111" s="70" t="n">
        <x:v>1</x:v>
      </x:c>
    </x:row>
    <x:row r="112" ht="21" customHeight="1">
      <x:c r="A112" t="n">
        <x:v>105</x:v>
      </x:c>
      <x:c r="B112" t="str">
        <x:v>发车大直道</x:v>
      </x:c>
      <x:c r="C112" t="n">
        <x:v>30</x:v>
      </x:c>
      <x:c r="D112" t="n">
        <x:v>46</x:v>
      </x:c>
      <x:c r="E112" t="str">
        <x:v>AT30</x:v>
      </x:c>
      <x:c r="F112" t="str">
        <x:v>←</x:v>
      </x:c>
      <x:c r="G112" t="n">
        <x:v>31</x:v>
      </x:c>
      <x:c r="H112" t="n">
        <x:v>46</x:v>
      </x:c>
      <x:c r="I112" t="n">
        <x:v>3146</x:v>
      </x:c>
      <x:c r="J112" t="n">
        <x:v>30</x:v>
      </x:c>
      <x:c r="K112" t="n">
        <x:v>46</x:v>
      </x:c>
      <x:c r="L112" t="n">
        <x:v>3046</x:v>
      </x:c>
      <x:c r="M112" s="70" t="n">
        <x:v>1</x:v>
      </x:c>
    </x:row>
    <x:row r="113" ht="21" customHeight="1">
      <x:c r="A113" t="n">
        <x:v>106</x:v>
      </x:c>
      <x:c r="B113" t="str">
        <x:v>发车大直道</x:v>
      </x:c>
      <x:c r="C113" t="n">
        <x:v>30</x:v>
      </x:c>
      <x:c r="D113" t="n">
        <x:v>45</x:v>
      </x:c>
      <x:c r="E113" t="str">
        <x:v>AS30</x:v>
      </x:c>
      <x:c r="F113" t="str">
        <x:v>←</x:v>
      </x:c>
      <x:c r="G113" t="n">
        <x:v>31</x:v>
      </x:c>
      <x:c r="H113" t="n">
        <x:v>45</x:v>
      </x:c>
      <x:c r="I113" t="n">
        <x:v>3145</x:v>
      </x:c>
      <x:c r="J113" t="n">
        <x:v>30</x:v>
      </x:c>
      <x:c r="K113" t="n">
        <x:v>45</x:v>
      </x:c>
      <x:c r="L113" t="n">
        <x:v>3045</x:v>
      </x:c>
      <x:c r="M113" s="70" t="n">
        <x:v>1</x:v>
      </x:c>
    </x:row>
    <x:row r="114" ht="21" customHeight="1">
      <x:c r="A114" t="n">
        <x:v>107</x:v>
      </x:c>
      <x:c r="B114" t="str">
        <x:v>发车大直道</x:v>
      </x:c>
      <x:c r="C114" t="n">
        <x:v>30</x:v>
      </x:c>
      <x:c r="D114" t="n">
        <x:v>44</x:v>
      </x:c>
      <x:c r="E114" t="str">
        <x:v>AR30</x:v>
      </x:c>
      <x:c r="F114" t="str">
        <x:v>←</x:v>
      </x:c>
      <x:c r="G114" t="n">
        <x:v>31</x:v>
      </x:c>
      <x:c r="H114" t="n">
        <x:v>44</x:v>
      </x:c>
      <x:c r="I114" t="n">
        <x:v>3144</x:v>
      </x:c>
      <x:c r="J114" t="n">
        <x:v>30</x:v>
      </x:c>
      <x:c r="K114" t="n">
        <x:v>44</x:v>
      </x:c>
      <x:c r="L114" t="n">
        <x:v>3044</x:v>
      </x:c>
      <x:c r="M114" s="70" t="n">
        <x:v>1</x:v>
      </x:c>
    </x:row>
    <x:row r="115" ht="21" customHeight="1">
      <x:c r="A115" t="n">
        <x:v>108</x:v>
      </x:c>
      <x:c r="B115" t="str">
        <x:v>发车大直道</x:v>
      </x:c>
      <x:c r="C115" t="n">
        <x:v>30</x:v>
      </x:c>
      <x:c r="D115" t="n">
        <x:v>43</x:v>
      </x:c>
      <x:c r="E115" t="str">
        <x:v>AQ30</x:v>
      </x:c>
      <x:c r="F115" t="str">
        <x:v>←</x:v>
      </x:c>
      <x:c r="G115" t="n">
        <x:v>31</x:v>
      </x:c>
      <x:c r="H115" t="n">
        <x:v>43</x:v>
      </x:c>
      <x:c r="I115" t="n">
        <x:v>3143</x:v>
      </x:c>
      <x:c r="J115" t="n">
        <x:v>30</x:v>
      </x:c>
      <x:c r="K115" t="n">
        <x:v>43</x:v>
      </x:c>
      <x:c r="L115" t="n">
        <x:v>3043</x:v>
      </x:c>
      <x:c r="M115" s="70" t="n">
        <x:v>1</x:v>
      </x:c>
    </x:row>
    <x:row r="116" ht="21" customHeight="1">
      <x:c r="A116" t="n">
        <x:v>109</x:v>
      </x:c>
      <x:c r="B116" t="str">
        <x:v>发车大直道</x:v>
      </x:c>
      <x:c r="C116" t="n">
        <x:v>30</x:v>
      </x:c>
      <x:c r="D116" t="n">
        <x:v>42</x:v>
      </x:c>
      <x:c r="E116" t="str">
        <x:v>AP30</x:v>
      </x:c>
      <x:c r="F116" t="str">
        <x:v>←</x:v>
      </x:c>
      <x:c r="G116" t="n">
        <x:v>31</x:v>
      </x:c>
      <x:c r="H116" t="n">
        <x:v>42</x:v>
      </x:c>
      <x:c r="I116" t="n">
        <x:v>3142</x:v>
      </x:c>
      <x:c r="J116" t="n">
        <x:v>30</x:v>
      </x:c>
      <x:c r="K116" t="n">
        <x:v>42</x:v>
      </x:c>
      <x:c r="L116" t="n">
        <x:v>3042</x:v>
      </x:c>
      <x:c r="M116" s="70" t="n">
        <x:v>1</x:v>
      </x:c>
    </x:row>
    <x:row r="117" ht="21" customHeight="1">
      <x:c r="A117" t="n">
        <x:v>110</x:v>
      </x:c>
      <x:c r="B117" t="str">
        <x:v>发车大直道</x:v>
      </x:c>
      <x:c r="C117" t="n">
        <x:v>30</x:v>
      </x:c>
      <x:c r="D117" t="n">
        <x:v>41</x:v>
      </x:c>
      <x:c r="E117" t="str">
        <x:v>AO30</x:v>
      </x:c>
      <x:c r="F117" t="str">
        <x:v>←</x:v>
      </x:c>
      <x:c r="G117" t="n">
        <x:v>31</x:v>
      </x:c>
      <x:c r="H117" t="n">
        <x:v>41</x:v>
      </x:c>
      <x:c r="I117" t="n">
        <x:v>3141</x:v>
      </x:c>
      <x:c r="J117" t="n">
        <x:v>30</x:v>
      </x:c>
      <x:c r="K117" t="n">
        <x:v>41</x:v>
      </x:c>
      <x:c r="L117" t="n">
        <x:v>3041</x:v>
      </x:c>
      <x:c r="M117" s="70" t="n">
        <x:v>1</x:v>
      </x:c>
    </x:row>
    <x:row r="118" ht="21" customHeight="1">
      <x:c r="A118" t="n">
        <x:v>111</x:v>
      </x:c>
      <x:c r="B118" t="str">
        <x:v>发车大直道</x:v>
      </x:c>
      <x:c r="C118" t="n">
        <x:v>30</x:v>
      </x:c>
      <x:c r="D118" t="n">
        <x:v>40</x:v>
      </x:c>
      <x:c r="E118" t="str">
        <x:v>AN30</x:v>
      </x:c>
      <x:c r="F118" t="str">
        <x:v>←</x:v>
      </x:c>
      <x:c r="G118" t="n">
        <x:v>31</x:v>
      </x:c>
      <x:c r="H118" t="n">
        <x:v>40</x:v>
      </x:c>
      <x:c r="I118" t="n">
        <x:v>3140</x:v>
      </x:c>
      <x:c r="J118" t="n">
        <x:v>30</x:v>
      </x:c>
      <x:c r="K118" t="n">
        <x:v>40</x:v>
      </x:c>
      <x:c r="L118" t="n">
        <x:v>3040</x:v>
      </x:c>
      <x:c r="M118" s="70" t="n">
        <x:v>1</x:v>
      </x:c>
    </x:row>
    <x:row r="119" ht="21" customHeight="1">
      <x:c r="A119" t="n">
        <x:v>112</x:v>
      </x:c>
      <x:c r="B119" t="str">
        <x:v>发车大直道</x:v>
      </x:c>
      <x:c r="C119" t="n">
        <x:v>30</x:v>
      </x:c>
      <x:c r="D119" t="n">
        <x:v>39</x:v>
      </x:c>
      <x:c r="E119" t="str">
        <x:v>AM30</x:v>
      </x:c>
      <x:c r="F119" t="str">
        <x:v>←</x:v>
      </x:c>
      <x:c r="G119" t="n">
        <x:v>31</x:v>
      </x:c>
      <x:c r="H119" t="n">
        <x:v>39</x:v>
      </x:c>
      <x:c r="I119" t="n">
        <x:v>3139</x:v>
      </x:c>
      <x:c r="J119" t="n">
        <x:v>30</x:v>
      </x:c>
      <x:c r="K119" t="n">
        <x:v>39</x:v>
      </x:c>
      <x:c r="L119" t="n">
        <x:v>3039</x:v>
      </x:c>
      <x:c r="M119" s="70" t="n">
        <x:v>1</x:v>
      </x:c>
    </x:row>
    <x:row r="120" ht="21" customHeight="1">
      <x:c r="A120" t="n">
        <x:v>113</x:v>
      </x:c>
      <x:c r="B120" t="str">
        <x:v>发车大直道</x:v>
      </x:c>
      <x:c r="C120" t="n">
        <x:v>30</x:v>
      </x:c>
      <x:c r="D120" t="n">
        <x:v>38</x:v>
      </x:c>
      <x:c r="E120" t="str">
        <x:v>AL30</x:v>
      </x:c>
      <x:c r="F120" t="str">
        <x:v>←</x:v>
      </x:c>
      <x:c r="G120" t="n">
        <x:v>31</x:v>
      </x:c>
      <x:c r="H120" t="n">
        <x:v>38</x:v>
      </x:c>
      <x:c r="I120" t="n">
        <x:v>3138</x:v>
      </x:c>
      <x:c r="J120" t="n">
        <x:v>30</x:v>
      </x:c>
      <x:c r="K120" t="n">
        <x:v>38</x:v>
      </x:c>
      <x:c r="L120" t="n">
        <x:v>3038</x:v>
      </x:c>
      <x:c r="M120" s="70" t="n">
        <x:v>1</x:v>
      </x:c>
    </x:row>
    <x:row r="121" ht="21" customHeight="1">
      <x:c r="A121" t="n">
        <x:v>114</x:v>
      </x:c>
      <x:c r="B121" t="str">
        <x:v>发车大直道</x:v>
      </x:c>
      <x:c r="C121" t="n">
        <x:v>30</x:v>
      </x:c>
      <x:c r="D121" t="n">
        <x:v>37</x:v>
      </x:c>
      <x:c r="E121" t="str">
        <x:v>AK30</x:v>
      </x:c>
      <x:c r="F121" t="str">
        <x:v>←</x:v>
      </x:c>
      <x:c r="G121" t="n">
        <x:v>31</x:v>
      </x:c>
      <x:c r="H121" t="n">
        <x:v>37</x:v>
      </x:c>
      <x:c r="I121" t="n">
        <x:v>3137</x:v>
      </x:c>
      <x:c r="J121" t="n">
        <x:v>30</x:v>
      </x:c>
      <x:c r="K121" t="n">
        <x:v>37</x:v>
      </x:c>
      <x:c r="L121" t="n">
        <x:v>3037</x:v>
      </x:c>
      <x:c r="M121" s="70" t="n">
        <x:v>1</x:v>
      </x:c>
    </x:row>
    <x:row r="122" ht="21" customHeight="1">
      <x:c r="A122" t="n">
        <x:v>115</x:v>
      </x:c>
      <x:c r="B122" t="str">
        <x:v>发车大直道</x:v>
      </x:c>
      <x:c r="C122" t="n">
        <x:v>30</x:v>
      </x:c>
      <x:c r="D122" t="n">
        <x:v>36</x:v>
      </x:c>
      <x:c r="E122" t="str">
        <x:v>AJ30</x:v>
      </x:c>
      <x:c r="F122" t="str">
        <x:v>←</x:v>
      </x:c>
      <x:c r="G122" t="n">
        <x:v>31</x:v>
      </x:c>
      <x:c r="H122" t="n">
        <x:v>36</x:v>
      </x:c>
      <x:c r="I122" t="n">
        <x:v>3136</x:v>
      </x:c>
      <x:c r="J122" t="n">
        <x:v>30</x:v>
      </x:c>
      <x:c r="K122" t="n">
        <x:v>36</x:v>
      </x:c>
      <x:c r="L122" t="n">
        <x:v>3036</x:v>
      </x:c>
      <x:c r="M122" s="70" t="n">
        <x:v>1</x:v>
      </x:c>
    </x:row>
    <x:row r="123" ht="21" customHeight="1">
      <x:c r="A123" t="n">
        <x:v>116</x:v>
      </x:c>
      <x:c r="B123" t="str">
        <x:v>发车大直道</x:v>
      </x:c>
      <x:c r="C123" t="n">
        <x:v>30</x:v>
      </x:c>
      <x:c r="D123" t="n">
        <x:v>35</x:v>
      </x:c>
      <x:c r="E123" t="str">
        <x:v>AI30</x:v>
      </x:c>
      <x:c r="F123" t="str">
        <x:v>←</x:v>
      </x:c>
      <x:c r="G123" t="n">
        <x:v>31</x:v>
      </x:c>
      <x:c r="H123" t="n">
        <x:v>35</x:v>
      </x:c>
      <x:c r="I123" t="n">
        <x:v>3135</x:v>
      </x:c>
      <x:c r="J123" t="n">
        <x:v>30</x:v>
      </x:c>
      <x:c r="K123" t="n">
        <x:v>35</x:v>
      </x:c>
      <x:c r="L123" t="n">
        <x:v>3035</x:v>
      </x:c>
      <x:c r="M123" s="70" t="n">
        <x:v>1</x:v>
      </x:c>
    </x:row>
    <x:row r="124" ht="21" customHeight="1">
      <x:c r="A124" t="n">
        <x:v>117</x:v>
      </x:c>
      <x:c r="B124" t="str">
        <x:v>发车大直道</x:v>
      </x:c>
      <x:c r="C124" t="n">
        <x:v>30</x:v>
      </x:c>
      <x:c r="D124" t="n">
        <x:v>34</x:v>
      </x:c>
      <x:c r="E124" t="str">
        <x:v>AH30</x:v>
      </x:c>
      <x:c r="F124" t="str">
        <x:v>←</x:v>
      </x:c>
      <x:c r="G124" t="n">
        <x:v>31</x:v>
      </x:c>
      <x:c r="H124" t="n">
        <x:v>34</x:v>
      </x:c>
      <x:c r="I124" t="n">
        <x:v>3134</x:v>
      </x:c>
      <x:c r="J124" t="n">
        <x:v>30</x:v>
      </x:c>
      <x:c r="K124" t="n">
        <x:v>34</x:v>
      </x:c>
      <x:c r="L124" t="n">
        <x:v>3034</x:v>
      </x:c>
      <x:c r="M124" s="70" t="n">
        <x:v>1</x:v>
      </x:c>
    </x:row>
    <x:row r="125" ht="21" customHeight="1">
      <x:c r="A125" t="n">
        <x:v>118</x:v>
      </x:c>
      <x:c r="B125" t="str">
        <x:v>发车大直道</x:v>
      </x:c>
      <x:c r="C125" t="n">
        <x:v>30</x:v>
      </x:c>
      <x:c r="D125" t="n">
        <x:v>33</x:v>
      </x:c>
      <x:c r="E125" t="str">
        <x:v>AG30</x:v>
      </x:c>
      <x:c r="F125" t="str">
        <x:v>←</x:v>
      </x:c>
      <x:c r="G125" t="n">
        <x:v>31</x:v>
      </x:c>
      <x:c r="H125" t="n">
        <x:v>33</x:v>
      </x:c>
      <x:c r="I125" t="n">
        <x:v>3133</x:v>
      </x:c>
      <x:c r="J125" t="n">
        <x:v>30</x:v>
      </x:c>
      <x:c r="K125" t="n">
        <x:v>33</x:v>
      </x:c>
      <x:c r="L125" t="n">
        <x:v>3033</x:v>
      </x:c>
      <x:c r="M125" s="70" t="n">
        <x:v>1</x:v>
      </x:c>
    </x:row>
    <x:row r="126" ht="21" customHeight="1">
      <x:c r="A126" t="n">
        <x:v>119</x:v>
      </x:c>
      <x:c r="B126" t="str">
        <x:v>发车大直道</x:v>
      </x:c>
      <x:c r="C126" t="n">
        <x:v>30</x:v>
      </x:c>
      <x:c r="D126" t="n">
        <x:v>32</x:v>
      </x:c>
      <x:c r="E126" t="str">
        <x:v>AF30</x:v>
      </x:c>
      <x:c r="F126" t="str">
        <x:v>←</x:v>
      </x:c>
      <x:c r="G126" t="n">
        <x:v>31</x:v>
      </x:c>
      <x:c r="H126" t="n">
        <x:v>32</x:v>
      </x:c>
      <x:c r="I126" t="n">
        <x:v>3132</x:v>
      </x:c>
      <x:c r="J126" t="n">
        <x:v>30</x:v>
      </x:c>
      <x:c r="K126" t="n">
        <x:v>32</x:v>
      </x:c>
      <x:c r="L126" t="n">
        <x:v>3032</x:v>
      </x:c>
      <x:c r="M126" s="70" t="n">
        <x:v>1</x:v>
      </x:c>
    </x:row>
    <x:row r="127" ht="21" customHeight="1">
      <x:c r="A127" t="n">
        <x:v>120</x:v>
      </x:c>
      <x:c r="B127" t="str">
        <x:v>发车大直道</x:v>
      </x:c>
      <x:c r="C127" t="n">
        <x:v>30</x:v>
      </x:c>
      <x:c r="D127" t="n">
        <x:v>31</x:v>
      </x:c>
      <x:c r="E127" t="str">
        <x:v>AE30</x:v>
      </x:c>
      <x:c r="F127" t="str">
        <x:v>←</x:v>
      </x:c>
      <x:c r="G127" t="n">
        <x:v>31</x:v>
      </x:c>
      <x:c r="H127" t="n">
        <x:v>31</x:v>
      </x:c>
      <x:c r="I127" t="n">
        <x:v>3131</x:v>
      </x:c>
      <x:c r="J127" t="n">
        <x:v>30</x:v>
      </x:c>
      <x:c r="K127" t="n">
        <x:v>31</x:v>
      </x:c>
      <x:c r="L127" t="n">
        <x:v>3031</x:v>
      </x:c>
      <x:c r="M127" s="70" t="n">
        <x:v>1</x:v>
      </x:c>
    </x:row>
    <x:row r="128" ht="21" customHeight="1">
      <x:c r="A128" t="n">
        <x:v>121</x:v>
      </x:c>
      <x:c r="B128" t="str">
        <x:v>发车大直道</x:v>
      </x:c>
      <x:c r="C128" t="n">
        <x:v>30</x:v>
      </x:c>
      <x:c r="D128" t="n">
        <x:v>30</x:v>
      </x:c>
      <x:c r="E128" t="str">
        <x:v>AD30</x:v>
      </x:c>
      <x:c r="F128" t="str">
        <x:v>←</x:v>
      </x:c>
      <x:c r="G128" t="n">
        <x:v>31</x:v>
      </x:c>
      <x:c r="H128" t="n">
        <x:v>30</x:v>
      </x:c>
      <x:c r="I128" t="n">
        <x:v>3130</x:v>
      </x:c>
      <x:c r="J128" t="n">
        <x:v>30</x:v>
      </x:c>
      <x:c r="K128" t="n">
        <x:v>30</x:v>
      </x:c>
      <x:c r="L128" t="n">
        <x:v>3030</x:v>
      </x:c>
      <x:c r="M128" s="70" t="n">
        <x:v>1</x:v>
      </x:c>
    </x:row>
    <x:row r="129" ht="21" customHeight="1">
      <x:c r="A129" t="n">
        <x:v>122</x:v>
      </x:c>
      <x:c r="B129" t="str">
        <x:v>发车大直道</x:v>
      </x:c>
      <x:c r="C129" t="n">
        <x:v>30</x:v>
      </x:c>
      <x:c r="D129" t="n">
        <x:v>29</x:v>
      </x:c>
      <x:c r="E129" t="str">
        <x:v>AC30</x:v>
      </x:c>
      <x:c r="F129" t="str">
        <x:v>←</x:v>
      </x:c>
      <x:c r="G129" t="n">
        <x:v>31</x:v>
      </x:c>
      <x:c r="H129" t="n">
        <x:v>29</x:v>
      </x:c>
      <x:c r="I129" t="n">
        <x:v>3129</x:v>
      </x:c>
      <x:c r="J129" t="n">
        <x:v>30</x:v>
      </x:c>
      <x:c r="K129" t="n">
        <x:v>29</x:v>
      </x:c>
      <x:c r="L129" t="n">
        <x:v>3029</x:v>
      </x:c>
      <x:c r="M129" s="70" t="n">
        <x:v>1</x:v>
      </x:c>
    </x:row>
    <x:row r="130" ht="21" customHeight="1">
      <x:c r="A130" t="n">
        <x:v>123</x:v>
      </x:c>
      <x:c r="B130" t="str">
        <x:v>发车大直道</x:v>
      </x:c>
      <x:c r="C130" t="n">
        <x:v>30</x:v>
      </x:c>
      <x:c r="D130" t="n">
        <x:v>28</x:v>
      </x:c>
      <x:c r="E130" t="str">
        <x:v>AB30</x:v>
      </x:c>
      <x:c r="F130" t="str">
        <x:v>←</x:v>
      </x:c>
      <x:c r="G130" t="n">
        <x:v>31</x:v>
      </x:c>
      <x:c r="H130" t="n">
        <x:v>28</x:v>
      </x:c>
      <x:c r="I130" t="n">
        <x:v>3128</x:v>
      </x:c>
      <x:c r="J130" t="n">
        <x:v>30</x:v>
      </x:c>
      <x:c r="K130" t="n">
        <x:v>28</x:v>
      </x:c>
      <x:c r="L130" t="n">
        <x:v>3028</x:v>
      </x:c>
      <x:c r="M130" s="70" t="n">
        <x:v>1</x:v>
      </x:c>
    </x:row>
    <x:row r="131" ht="21" customHeight="1">
      <x:c r="A131" t="n">
        <x:v>124</x:v>
      </x:c>
      <x:c r="B131" t="str">
        <x:v>发车大直道</x:v>
      </x:c>
      <x:c r="C131" t="n">
        <x:v>30</x:v>
      </x:c>
      <x:c r="D131" t="n">
        <x:v>27</x:v>
      </x:c>
      <x:c r="E131" t="str">
        <x:v>AA30</x:v>
      </x:c>
      <x:c r="F131" t="str">
        <x:v>←</x:v>
      </x:c>
      <x:c r="G131" t="n">
        <x:v>31</x:v>
      </x:c>
      <x:c r="H131" t="n">
        <x:v>27</x:v>
      </x:c>
      <x:c r="I131" t="n">
        <x:v>3127</x:v>
      </x:c>
      <x:c r="J131" t="n">
        <x:v>30</x:v>
      </x:c>
      <x:c r="K131" t="n">
        <x:v>27</x:v>
      </x:c>
      <x:c r="L131" t="n">
        <x:v>3027</x:v>
      </x:c>
      <x:c r="M131" s="70" t="n">
        <x:v>1</x:v>
      </x:c>
    </x:row>
    <x:row r="132" ht="21" customHeight="1">
      <x:c r="A132" t="n">
        <x:v>125</x:v>
      </x:c>
      <x:c r="B132" t="str">
        <x:v>发车大直道</x:v>
      </x:c>
      <x:c r="C132" t="n">
        <x:v>30</x:v>
      </x:c>
      <x:c r="D132" t="n">
        <x:v>26</x:v>
      </x:c>
      <x:c r="E132" t="str">
        <x:v>Z30</x:v>
      </x:c>
      <x:c r="F132" t="str">
        <x:v>←</x:v>
      </x:c>
      <x:c r="G132" t="n">
        <x:v>31</x:v>
      </x:c>
      <x:c r="H132" t="n">
        <x:v>26</x:v>
      </x:c>
      <x:c r="I132" t="n">
        <x:v>3126</x:v>
      </x:c>
      <x:c r="J132" t="n">
        <x:v>30</x:v>
      </x:c>
      <x:c r="K132" t="n">
        <x:v>26</x:v>
      </x:c>
      <x:c r="L132" t="n">
        <x:v>3026</x:v>
      </x:c>
      <x:c r="M132" s="70" t="n">
        <x:v>1</x:v>
      </x:c>
    </x:row>
    <x:row r="133" ht="21" customHeight="1">
      <x:c r="A133" t="n">
        <x:v>126</x:v>
      </x:c>
      <x:c r="B133" t="str">
        <x:v>发车大直道</x:v>
      </x:c>
      <x:c r="C133" t="n">
        <x:v>30</x:v>
      </x:c>
      <x:c r="D133" t="n">
        <x:v>25</x:v>
      </x:c>
      <x:c r="E133" t="str">
        <x:v>Y30</x:v>
      </x:c>
      <x:c r="F133" t="str">
        <x:v>←</x:v>
      </x:c>
      <x:c r="G133" t="n">
        <x:v>31</x:v>
      </x:c>
      <x:c r="H133" t="n">
        <x:v>25</x:v>
      </x:c>
      <x:c r="I133" t="n">
        <x:v>3125</x:v>
      </x:c>
      <x:c r="J133" t="n">
        <x:v>30</x:v>
      </x:c>
      <x:c r="K133" t="n">
        <x:v>25</x:v>
      </x:c>
      <x:c r="L133" t="n">
        <x:v>3025</x:v>
      </x:c>
      <x:c r="M133" s="70" t="n">
        <x:v>1</x:v>
      </x:c>
    </x:row>
    <x:row r="134" ht="21" customHeight="1">
      <x:c r="A134" t="n">
        <x:v>127</x:v>
      </x:c>
      <x:c r="B134" t="str">
        <x:v>发车大直道</x:v>
      </x:c>
      <x:c r="C134" t="n">
        <x:v>30</x:v>
      </x:c>
      <x:c r="D134" t="n">
        <x:v>24</x:v>
      </x:c>
      <x:c r="E134" t="str">
        <x:v>X30</x:v>
      </x:c>
      <x:c r="F134" t="str">
        <x:v>←</x:v>
      </x:c>
      <x:c r="G134" t="n">
        <x:v>31</x:v>
      </x:c>
      <x:c r="H134" t="n">
        <x:v>24</x:v>
      </x:c>
      <x:c r="I134" t="n">
        <x:v>3124</x:v>
      </x:c>
      <x:c r="J134" t="n">
        <x:v>30</x:v>
      </x:c>
      <x:c r="K134" t="n">
        <x:v>24</x:v>
      </x:c>
      <x:c r="L134" t="n">
        <x:v>3024</x:v>
      </x:c>
      <x:c r="M134" s="70" t="n">
        <x:v>1</x:v>
      </x:c>
    </x:row>
    <x:row r="135" ht="21" customHeight="1">
      <x:c r="A135" t="n">
        <x:v>128</x:v>
      </x:c>
      <x:c r="B135" t="str">
        <x:v>发车大直道</x:v>
      </x:c>
      <x:c r="C135" t="n">
        <x:v>30</x:v>
      </x:c>
      <x:c r="D135" t="n">
        <x:v>23</x:v>
      </x:c>
      <x:c r="E135" t="str">
        <x:v>W30</x:v>
      </x:c>
      <x:c r="F135" t="str">
        <x:v>←</x:v>
      </x:c>
      <x:c r="G135" t="n">
        <x:v>31</x:v>
      </x:c>
      <x:c r="H135" t="n">
        <x:v>23</x:v>
      </x:c>
      <x:c r="I135" t="n">
        <x:v>3123</x:v>
      </x:c>
      <x:c r="J135" t="n">
        <x:v>30</x:v>
      </x:c>
      <x:c r="K135" t="n">
        <x:v>23</x:v>
      </x:c>
      <x:c r="L135" t="n">
        <x:v>3023</x:v>
      </x:c>
      <x:c r="M135" s="70" t="n">
        <x:v>1</x:v>
      </x:c>
    </x:row>
    <x:row r="136" ht="21" customHeight="1">
      <x:c r="A136" t="n">
        <x:v>129</x:v>
      </x:c>
      <x:c r="B136" t="str">
        <x:v>发车大直道</x:v>
      </x:c>
      <x:c r="C136" t="n">
        <x:v>30</x:v>
      </x:c>
      <x:c r="D136" t="n">
        <x:v>22</x:v>
      </x:c>
      <x:c r="E136" t="str">
        <x:v>V30</x:v>
      </x:c>
      <x:c r="F136" t="str">
        <x:v>←</x:v>
      </x:c>
      <x:c r="G136" t="n">
        <x:v>31</x:v>
      </x:c>
      <x:c r="H136" t="n">
        <x:v>22</x:v>
      </x:c>
      <x:c r="I136" t="n">
        <x:v>3122</x:v>
      </x:c>
      <x:c r="J136" t="n">
        <x:v>30</x:v>
      </x:c>
      <x:c r="K136" t="n">
        <x:v>22</x:v>
      </x:c>
      <x:c r="L136" t="n">
        <x:v>3022</x:v>
      </x:c>
      <x:c r="M136" s="70" t="n">
        <x:v>1</x:v>
      </x:c>
    </x:row>
    <x:row r="137" ht="21" customHeight="1">
      <x:c r="A137" t="n">
        <x:v>130</x:v>
      </x:c>
      <x:c r="B137" t="str">
        <x:v>发车大直道</x:v>
      </x:c>
      <x:c r="C137" t="n">
        <x:v>30</x:v>
      </x:c>
      <x:c r="D137" t="n">
        <x:v>21</x:v>
      </x:c>
      <x:c r="E137" t="str">
        <x:v>U30</x:v>
      </x:c>
      <x:c r="F137" t="str">
        <x:v>←</x:v>
      </x:c>
      <x:c r="G137" t="n">
        <x:v>31</x:v>
      </x:c>
      <x:c r="H137" t="n">
        <x:v>21</x:v>
      </x:c>
      <x:c r="I137" t="n">
        <x:v>3121</x:v>
      </x:c>
      <x:c r="J137" t="n">
        <x:v>30</x:v>
      </x:c>
      <x:c r="K137" t="n">
        <x:v>21</x:v>
      </x:c>
      <x:c r="L137" t="n">
        <x:v>3021</x:v>
      </x:c>
      <x:c r="M137" s="70" t="n">
        <x:v>1</x:v>
      </x:c>
    </x:row>
    <x:row r="138" ht="21" customHeight="1">
      <x:c r="A138" t="n">
        <x:v>131</x:v>
      </x:c>
      <x:c r="B138" t="str">
        <x:v>发车大直道</x:v>
      </x:c>
      <x:c r="C138" t="n">
        <x:v>30</x:v>
      </x:c>
      <x:c r="D138" t="n">
        <x:v>20</x:v>
      </x:c>
      <x:c r="E138" t="str">
        <x:v>T30</x:v>
      </x:c>
      <x:c r="F138" t="str">
        <x:v>←</x:v>
      </x:c>
      <x:c r="G138" t="n">
        <x:v>31</x:v>
      </x:c>
      <x:c r="H138" t="n">
        <x:v>20</x:v>
      </x:c>
      <x:c r="I138" t="n">
        <x:v>3120</x:v>
      </x:c>
      <x:c r="J138" t="n">
        <x:v>30</x:v>
      </x:c>
      <x:c r="K138" t="n">
        <x:v>20</x:v>
      </x:c>
      <x:c r="L138" t="n">
        <x:v>3020</x:v>
      </x:c>
      <x:c r="M138" s="70" t="n">
        <x:v>1</x:v>
      </x:c>
    </x:row>
    <x:row r="139" ht="21" customHeight="1">
      <x:c r="A139" t="n">
        <x:v>132</x:v>
      </x:c>
      <x:c r="B139" t="str">
        <x:v>发车大直道</x:v>
      </x:c>
      <x:c r="C139" t="n">
        <x:v>30</x:v>
      </x:c>
      <x:c r="D139" t="n">
        <x:v>19</x:v>
      </x:c>
      <x:c r="E139" t="str">
        <x:v>S30</x:v>
      </x:c>
      <x:c r="F139" t="str">
        <x:v>←</x:v>
      </x:c>
      <x:c r="G139" t="n">
        <x:v>31</x:v>
      </x:c>
      <x:c r="H139" t="n">
        <x:v>19</x:v>
      </x:c>
      <x:c r="I139" t="n">
        <x:v>3119</x:v>
      </x:c>
      <x:c r="J139" t="n">
        <x:v>30</x:v>
      </x:c>
      <x:c r="K139" t="n">
        <x:v>19</x:v>
      </x:c>
      <x:c r="L139" t="n">
        <x:v>3019</x:v>
      </x:c>
      <x:c r="M139" s="70" t="n">
        <x:v>1</x:v>
      </x:c>
    </x:row>
    <x:row r="140" ht="21" customHeight="1">
      <x:c r="A140" t="n">
        <x:v>133</x:v>
      </x:c>
      <x:c r="B140" t="str">
        <x:v>发车大直道</x:v>
      </x:c>
      <x:c r="C140" t="n">
        <x:v>30</x:v>
      </x:c>
      <x:c r="D140" t="n">
        <x:v>18</x:v>
      </x:c>
      <x:c r="E140" t="str">
        <x:v>R30</x:v>
      </x:c>
      <x:c r="F140" t="str">
        <x:v>←</x:v>
      </x:c>
      <x:c r="G140" t="n">
        <x:v>31</x:v>
      </x:c>
      <x:c r="H140" t="n">
        <x:v>18</x:v>
      </x:c>
      <x:c r="I140" t="n">
        <x:v>3118</x:v>
      </x:c>
      <x:c r="J140" t="n">
        <x:v>30</x:v>
      </x:c>
      <x:c r="K140" t="n">
        <x:v>18</x:v>
      </x:c>
      <x:c r="L140" t="n">
        <x:v>3018</x:v>
      </x:c>
      <x:c r="M140" s="70" t="n">
        <x:v>0.78</x:v>
      </x:c>
    </x:row>
    <x:row r="141" ht="21" customHeight="1">
      <x:c r="A141" t="n">
        <x:v>134</x:v>
      </x:c>
      <x:c r="B141" t="str">
        <x:v>发车大直道</x:v>
      </x:c>
      <x:c r="C141" t="n">
        <x:v>30</x:v>
      </x:c>
      <x:c r="D141" t="n">
        <x:v>17</x:v>
      </x:c>
      <x:c r="E141" t="str">
        <x:v>Q30</x:v>
      </x:c>
      <x:c r="F141" t="str">
        <x:v>←</x:v>
      </x:c>
      <x:c r="G141" t="n">
        <x:v>31</x:v>
      </x:c>
      <x:c r="H141" t="n">
        <x:v>17</x:v>
      </x:c>
      <x:c r="I141" t="n">
        <x:v>3117</x:v>
      </x:c>
      <x:c r="J141" t="n">
        <x:v>30</x:v>
      </x:c>
      <x:c r="K141" t="n">
        <x:v>17</x:v>
      </x:c>
      <x:c r="L141" t="n">
        <x:v>3017</x:v>
      </x:c>
      <x:c r="M141" s="70" t="n">
        <x:v>0.78</x:v>
      </x:c>
    </x:row>
  </x:sheetData>
  <x:mergeCells>
    <x:mergeCell ref="A1:M2"/>
    <x:mergeCell ref="A3:M4"/>
  </x:mergeCells>
  <x:conditionalFormatting sqref="M8:M141">
    <x:cfRule type="colorScale" priority="1">
      <x:colorScale>
        <x:cfvo type="min"/>
        <x:cfvo type="max"/>
        <x:color rgb="FFFDD7B3"/>
        <x:color rgb="FFD8EEC6"/>
      </x:colorScale>
    </x:cfRule>
  </x:conditionalFormatting>
  <x:dataValidations count="1">
    <x:dataValidation type="decimal" operator="between" sqref="M8:M141">
      <x:formula1>0.1</x:formula1>
      <x:formula2>2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c5e71f756a4543a5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</x:cols>
  <x:sheetData>
    <x:row r="1" ht="21" customHeight="1">
      <x:c r="A1" s="8" t="str">
        <x:v>RACE DATA  /  逐帧比赛记录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21" customHeight="1">
      <x:c r="A2" s="6"/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</x:row>
    <x:row r="3" ht="21" customHeight="1">
      <x:c r="A3" s="10" t="str">
        <x:v>241 帧 × 6 辆车 = 1,446 条记录；速度、位置、圈数、排名与完赛顺序均由公式计算。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</x:row>
    <x:row r="4" ht="21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</x:row>
    <x:row r="5" ht="21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</x:row>
    <x:row r="6" ht="21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</x:row>
    <x:row r="7" ht="34" customHeight="1">
      <x:c r="A7" s="78" t="str">
        <x:v>帧</x:v>
      </x:c>
      <x:c r="B7" s="78" t="str">
        <x:v>车号</x:v>
      </x:c>
      <x:c r="C7" s="78" t="str">
        <x:v>车手</x:v>
      </x:c>
      <x:c r="D7" s="78" t="str">
        <x:v>上帧累计/格</x:v>
      </x:c>
      <x:c r="E7" s="78" t="str">
        <x:v>事件</x:v>
      </x:c>
      <x:c r="F7" s="78" t="str">
        <x:v>本帧步长/格</x:v>
      </x:c>
      <x:c r="G7" s="78" t="str">
        <x:v>累计路程/格</x:v>
      </x:c>
      <x:c r="H7" s="78" t="str">
        <x:v>赛道格号</x:v>
      </x:c>
      <x:c r="I7" s="78" t="str">
        <x:v>当前圈</x:v>
      </x:c>
      <x:c r="J7" s="78" t="str">
        <x:v>车道</x:v>
      </x:c>
      <x:c r="K7" s="78" t="str">
        <x:v>显示坐标键</x:v>
      </x:c>
      <x:c r="L7" s="78" t="str">
        <x:v>方向</x:v>
      </x:c>
      <x:c r="M7" s="78" t="str">
        <x:v>完赛进度</x:v>
      </x:c>
      <x:c r="N7" s="78" t="str">
        <x:v>首次完赛帧</x:v>
      </x:c>
      <x:c r="O7" s="78" t="str">
        <x:v>排序分值</x:v>
      </x:c>
      <x:c r="P7" s="78" t="str">
        <x:v>当前排名</x:v>
      </x:c>
      <x:c r="Q7" s="78" t="str">
        <x:v>距领跑/格</x:v>
      </x:c>
      <x:c r="R7" s="78" t="str">
        <x:v>当前区段</x:v>
      </x:c>
    </x:row>
    <x:row r="8" ht="20" customHeight="1">
      <x:c r="A8" s="72" t="n">
        <x:v>0</x:v>
      </x:c>
      <x:c r="B8" s="72" t="n">
        <x:v>1</x:v>
      </x:c>
      <x:c r="C8" s="72" t="str">
        <x:f>INDEX(Drivers!$B$8:$B$13,B8)</x:f>
        <x:v>赤焰</x:v>
      </x:c>
      <x:c r="D8" s="82" t="n">
        <x:f>INDEX(Drivers!$I$8:$I$13,B8)</x:f>
        <x:v>0</x:v>
      </x:c>
      <x:c r="E8" s="82" t="str">
        <x:f>IF(A8=0,"GRID",IF(D8&gt;=Control!$B$17,"FINISHED",IF(AND(A8&gt;=INDEX(Drivers!$G$8:$G$13,B8),A8&lt;INDEX(Drivers!$G$8:$G$13,B8)+INDEX(Drivers!$J$8:$J$13,B8)),"PIT",IF(MOD(A8+INDEX(Drivers!$F$8:$F$13,B8),Control!$B$11)&lt;Control!$B$13,"BOOST","RACE"))))</x:f>
        <x:v>GRID</x:v>
      </x:c>
      <x:c r="F8" s="82" t="n">
        <x:f>IF(OR(E8="GRID",E8="FINISHED",E8="PIT"),0,MAX(Control!$B$15,(INDEX(Drivers!$D$8:$D$13,B8)+INDEX(Drivers!$E$8:$E$13,B8)*SIN((A8+INDEX(Drivers!$F$8:$F$13,B8)+Control!$B$16)*Control!$B$14))*INDEX(TrackMap!$M$8:$M$141,MOD(INT(D8)-1,Control!$B$7)+1)*IF(E8="BOOST",Control!$B$12,1)))</x:f>
        <x:v>0</x:v>
      </x:c>
      <x:c r="G8" s="82" t="n">
        <x:f>IF(A8=0,D8,MIN(Control!$B$17,D8+F8))</x:f>
        <x:v>0</x:v>
      </x:c>
      <x:c r="H8" s="72" t="n">
        <x:f>MOD(INT(G8)-1,Control!$B$7)+1</x:f>
        <x:v>134</x:v>
      </x:c>
      <x:c r="I8" s="72" t="n">
        <x:f>MIN(Control!$B$6,MAX(1,INT(MAX(0,G8)/Control!$B$7)+1))</x:f>
        <x:v>1</x:v>
      </x:c>
      <x:c r="J8" s="72" t="n">
        <x:f>INDEX(Drivers!$H$8:$H$13,B8)</x:f>
        <x:v>1</x:v>
      </x:c>
      <x:c r="K8" s="72" t="n">
        <x:f>IF(J8=1,INDEX(TrackMap!$I$8:$I$141,H8),INDEX(TrackMap!$L$8:$L$141,H8))</x:f>
        <x:v>3117</x:v>
      </x:c>
      <x:c r="L8" s="72" t="str">
        <x:f>INDEX(TrackMap!$F$8:$F$141,H8)</x:f>
        <x:v>←</x:v>
      </x:c>
      <x:c r="M8" s="86" t="n">
        <x:f>MAX(0,G8/Control!$B$17)</x:f>
        <x:v>0</x:v>
      </x:c>
      <x:c r="N8" s="72" t="n">
        <x:f>0</x:f>
        <x:v>0</x:v>
      </x:c>
      <x:c r="O8" s="90" t="n">
        <x:f>IF(N8&gt;0,Control!$B$17+Control!$B$8+1-N8,G8)-B8/100000</x:f>
        <x:v>-0.00001</x:v>
      </x:c>
      <x:c r="P8" s="72" t="n">
        <x:f>COUNTIF($O$8:$O$13,"&gt;"&amp;O8)+1</x:f>
        <x:v>1</x:v>
      </x:c>
      <x:c r="Q8" s="82" t="n">
        <x:f>MAX($G$8:$G$13)-G8</x:f>
        <x:v>0</x:v>
      </x:c>
      <x:c r="R8" s="72" t="str">
        <x:f>INDEX(TrackMap!$B$8:$B$141,H8)</x:f>
        <x:v>发车大直道</x:v>
      </x:c>
    </x:row>
    <x:row r="9" ht="20" customHeight="1">
      <x:c r="A9" s="72" t="n">
        <x:v>0</x:v>
      </x:c>
      <x:c r="B9" s="72" t="n">
        <x:v>2</x:v>
      </x:c>
      <x:c r="C9" s="72" t="str">
        <x:f>INDEX(Drivers!$B$8:$B$13,B9)</x:f>
        <x:v>蓝电</x:v>
      </x:c>
      <x:c r="D9" s="82" t="n">
        <x:f>INDEX(Drivers!$I$8:$I$13,B9)</x:f>
        <x:v>-2</x:v>
      </x:c>
      <x:c r="E9" s="82" t="str">
        <x:f>IF(A9=0,"GRID",IF(D9&gt;=Control!$B$17,"FINISHED",IF(AND(A9&gt;=INDEX(Drivers!$G$8:$G$13,B9),A9&lt;INDEX(Drivers!$G$8:$G$13,B9)+INDEX(Drivers!$J$8:$J$13,B9)),"PIT",IF(MOD(A9+INDEX(Drivers!$F$8:$F$13,B9),Control!$B$11)&lt;Control!$B$13,"BOOST","RACE"))))</x:f>
        <x:v>GRID</x:v>
      </x:c>
      <x:c r="F9" s="82" t="n">
        <x:f>IF(OR(E9="GRID",E9="FINISHED",E9="PIT"),0,MAX(Control!$B$15,(INDEX(Drivers!$D$8:$D$13,B9)+INDEX(Drivers!$E$8:$E$13,B9)*SIN((A9+INDEX(Drivers!$F$8:$F$13,B9)+Control!$B$16)*Control!$B$14))*INDEX(TrackMap!$M$8:$M$141,MOD(INT(D9)-1,Control!$B$7)+1)*IF(E9="BOOST",Control!$B$12,1)))</x:f>
        <x:v>0</x:v>
      </x:c>
      <x:c r="G9" s="82" t="n">
        <x:f>IF(A9=0,D9,MIN(Control!$B$17,D9+F9))</x:f>
        <x:v>-2</x:v>
      </x:c>
      <x:c r="H9" s="72" t="n">
        <x:f>MOD(INT(G9)-1,Control!$B$7)+1</x:f>
        <x:v>132</x:v>
      </x:c>
      <x:c r="I9" s="72" t="n">
        <x:f>MIN(Control!$B$6,MAX(1,INT(MAX(0,G9)/Control!$B$7)+1))</x:f>
        <x:v>1</x:v>
      </x:c>
      <x:c r="J9" s="72" t="n">
        <x:f>INDEX(Drivers!$H$8:$H$13,B9)</x:f>
        <x:v>2</x:v>
      </x:c>
      <x:c r="K9" s="72" t="n">
        <x:f>IF(J9=1,INDEX(TrackMap!$I$8:$I$141,H9),INDEX(TrackMap!$L$8:$L$141,H9))</x:f>
        <x:v>3019</x:v>
      </x:c>
      <x:c r="L9" s="72" t="str">
        <x:f>INDEX(TrackMap!$F$8:$F$141,H9)</x:f>
        <x:v>←</x:v>
      </x:c>
      <x:c r="M9" s="86" t="n">
        <x:f>MAX(0,G9/Control!$B$17)</x:f>
        <x:v>0</x:v>
      </x:c>
      <x:c r="N9" s="72" t="n">
        <x:f>0</x:f>
        <x:v>0</x:v>
      </x:c>
      <x:c r="O9" s="90" t="n">
        <x:f>IF(N9&gt;0,Control!$B$17+Control!$B$8+1-N9,G9)-B9/100000</x:f>
        <x:v>-2.00002</x:v>
      </x:c>
      <x:c r="P9" s="72" t="n">
        <x:f>COUNTIF($O$8:$O$13,"&gt;"&amp;O9)+1</x:f>
        <x:v>2</x:v>
      </x:c>
      <x:c r="Q9" s="82" t="n">
        <x:f>MAX($G$8:$G$13)-G9</x:f>
        <x:v>2</x:v>
      </x:c>
      <x:c r="R9" s="72" t="str">
        <x:f>INDEX(TrackMap!$B$8:$B$141,H9)</x:f>
        <x:v>发车大直道</x:v>
      </x:c>
    </x:row>
    <x:row r="10" ht="20" customHeight="1">
      <x:c r="A10" s="72" t="n">
        <x:v>0</x:v>
      </x:c>
      <x:c r="B10" s="72" t="n">
        <x:v>3</x:v>
      </x:c>
      <x:c r="C10" s="72" t="str">
        <x:f>INDEX(Drivers!$B$8:$B$13,B10)</x:f>
        <x:v>金翼</x:v>
      </x:c>
      <x:c r="D10" s="82" t="n">
        <x:f>INDEX(Drivers!$I$8:$I$13,B10)</x:f>
        <x:v>-4</x:v>
      </x:c>
      <x:c r="E10" s="82" t="str">
        <x:f>IF(A10=0,"GRID",IF(D10&gt;=Control!$B$17,"FINISHED",IF(AND(A10&gt;=INDEX(Drivers!$G$8:$G$13,B10),A10&lt;INDEX(Drivers!$G$8:$G$13,B10)+INDEX(Drivers!$J$8:$J$13,B10)),"PIT",IF(MOD(A10+INDEX(Drivers!$F$8:$F$13,B10),Control!$B$11)&lt;Control!$B$13,"BOOST","RACE"))))</x:f>
        <x:v>GRID</x:v>
      </x:c>
      <x:c r="F10" s="82" t="n">
        <x:f>IF(OR(E10="GRID",E10="FINISHED",E10="PIT"),0,MAX(Control!$B$15,(INDEX(Drivers!$D$8:$D$13,B10)+INDEX(Drivers!$E$8:$E$13,B10)*SIN((A10+INDEX(Drivers!$F$8:$F$13,B10)+Control!$B$16)*Control!$B$14))*INDEX(TrackMap!$M$8:$M$141,MOD(INT(D10)-1,Control!$B$7)+1)*IF(E10="BOOST",Control!$B$12,1)))</x:f>
        <x:v>0</x:v>
      </x:c>
      <x:c r="G10" s="82" t="n">
        <x:f>IF(A10=0,D10,MIN(Control!$B$17,D10+F10))</x:f>
        <x:v>-4</x:v>
      </x:c>
      <x:c r="H10" s="72" t="n">
        <x:f>MOD(INT(G10)-1,Control!$B$7)+1</x:f>
        <x:v>130</x:v>
      </x:c>
      <x:c r="I10" s="72" t="n">
        <x:f>MIN(Control!$B$6,MAX(1,INT(MAX(0,G10)/Control!$B$7)+1))</x:f>
        <x:v>1</x:v>
      </x:c>
      <x:c r="J10" s="72" t="n">
        <x:f>INDEX(Drivers!$H$8:$H$13,B10)</x:f>
        <x:v>1</x:v>
      </x:c>
      <x:c r="K10" s="72" t="n">
        <x:f>IF(J10=1,INDEX(TrackMap!$I$8:$I$141,H10),INDEX(TrackMap!$L$8:$L$141,H10))</x:f>
        <x:v>3121</x:v>
      </x:c>
      <x:c r="L10" s="72" t="str">
        <x:f>INDEX(TrackMap!$F$8:$F$141,H10)</x:f>
        <x:v>←</x:v>
      </x:c>
      <x:c r="M10" s="86" t="n">
        <x:f>MAX(0,G10/Control!$B$17)</x:f>
        <x:v>0</x:v>
      </x:c>
      <x:c r="N10" s="72" t="n">
        <x:f>0</x:f>
        <x:v>0</x:v>
      </x:c>
      <x:c r="O10" s="90" t="n">
        <x:f>IF(N10&gt;0,Control!$B$17+Control!$B$8+1-N10,G10)-B10/100000</x:f>
        <x:v>-4.00003</x:v>
      </x:c>
      <x:c r="P10" s="72" t="n">
        <x:f>COUNTIF($O$8:$O$13,"&gt;"&amp;O10)+1</x:f>
        <x:v>3</x:v>
      </x:c>
      <x:c r="Q10" s="82" t="n">
        <x:f>MAX($G$8:$G$13)-G10</x:f>
        <x:v>4</x:v>
      </x:c>
      <x:c r="R10" s="72" t="str">
        <x:f>INDEX(TrackMap!$B$8:$B$141,H10)</x:f>
        <x:v>发车大直道</x:v>
      </x:c>
    </x:row>
    <x:row r="11" ht="20" customHeight="1">
      <x:c r="A11" s="72" t="n">
        <x:v>0</x:v>
      </x:c>
      <x:c r="B11" s="72" t="n">
        <x:v>4</x:v>
      </x:c>
      <x:c r="C11" s="72" t="str">
        <x:f>INDEX(Drivers!$B$8:$B$13,B11)</x:f>
        <x:v>紫影</x:v>
      </x:c>
      <x:c r="D11" s="82" t="n">
        <x:f>INDEX(Drivers!$I$8:$I$13,B11)</x:f>
        <x:v>-6</x:v>
      </x:c>
      <x:c r="E11" s="82" t="str">
        <x:f>IF(A11=0,"GRID",IF(D11&gt;=Control!$B$17,"FINISHED",IF(AND(A11&gt;=INDEX(Drivers!$G$8:$G$13,B11),A11&lt;INDEX(Drivers!$G$8:$G$13,B11)+INDEX(Drivers!$J$8:$J$13,B11)),"PIT",IF(MOD(A11+INDEX(Drivers!$F$8:$F$13,B11),Control!$B$11)&lt;Control!$B$13,"BOOST","RACE"))))</x:f>
        <x:v>GRID</x:v>
      </x:c>
      <x:c r="F11" s="82" t="n">
        <x:f>IF(OR(E11="GRID",E11="FINISHED",E11="PIT"),0,MAX(Control!$B$15,(INDEX(Drivers!$D$8:$D$13,B11)+INDEX(Drivers!$E$8:$E$13,B11)*SIN((A11+INDEX(Drivers!$F$8:$F$13,B11)+Control!$B$16)*Control!$B$14))*INDEX(TrackMap!$M$8:$M$141,MOD(INT(D11)-1,Control!$B$7)+1)*IF(E11="BOOST",Control!$B$12,1)))</x:f>
        <x:v>0</x:v>
      </x:c>
      <x:c r="G11" s="82" t="n">
        <x:f>IF(A11=0,D11,MIN(Control!$B$17,D11+F11))</x:f>
        <x:v>-6</x:v>
      </x:c>
      <x:c r="H11" s="72" t="n">
        <x:f>MOD(INT(G11)-1,Control!$B$7)+1</x:f>
        <x:v>128</x:v>
      </x:c>
      <x:c r="I11" s="72" t="n">
        <x:f>MIN(Control!$B$6,MAX(1,INT(MAX(0,G11)/Control!$B$7)+1))</x:f>
        <x:v>1</x:v>
      </x:c>
      <x:c r="J11" s="72" t="n">
        <x:f>INDEX(Drivers!$H$8:$H$13,B11)</x:f>
        <x:v>2</x:v>
      </x:c>
      <x:c r="K11" s="72" t="n">
        <x:f>IF(J11=1,INDEX(TrackMap!$I$8:$I$141,H11),INDEX(TrackMap!$L$8:$L$141,H11))</x:f>
        <x:v>3023</x:v>
      </x:c>
      <x:c r="L11" s="72" t="str">
        <x:f>INDEX(TrackMap!$F$8:$F$141,H11)</x:f>
        <x:v>←</x:v>
      </x:c>
      <x:c r="M11" s="86" t="n">
        <x:f>MAX(0,G11/Control!$B$17)</x:f>
        <x:v>0</x:v>
      </x:c>
      <x:c r="N11" s="72" t="n">
        <x:f>0</x:f>
        <x:v>0</x:v>
      </x:c>
      <x:c r="O11" s="90" t="n">
        <x:f>IF(N11&gt;0,Control!$B$17+Control!$B$8+1-N11,G11)-B11/100000</x:f>
        <x:v>-6.00004</x:v>
      </x:c>
      <x:c r="P11" s="72" t="n">
        <x:f>COUNTIF($O$8:$O$13,"&gt;"&amp;O11)+1</x:f>
        <x:v>4</x:v>
      </x:c>
      <x:c r="Q11" s="82" t="n">
        <x:f>MAX($G$8:$G$13)-G11</x:f>
        <x:v>6</x:v>
      </x:c>
      <x:c r="R11" s="72" t="str">
        <x:f>INDEX(TrackMap!$B$8:$B$141,H11)</x:f>
        <x:v>发车大直道</x:v>
      </x:c>
    </x:row>
    <x:row r="12" ht="20" customHeight="1">
      <x:c r="A12" s="72" t="n">
        <x:v>0</x:v>
      </x:c>
      <x:c r="B12" s="72" t="n">
        <x:v>5</x:v>
      </x:c>
      <x:c r="C12" s="72" t="str">
        <x:f>INDEX(Drivers!$B$8:$B$13,B12)</x:f>
        <x:v>青锋</x:v>
      </x:c>
      <x:c r="D12" s="82" t="n">
        <x:f>INDEX(Drivers!$I$8:$I$13,B12)</x:f>
        <x:v>-8</x:v>
      </x:c>
      <x:c r="E12" s="82" t="str">
        <x:f>IF(A12=0,"GRID",IF(D12&gt;=Control!$B$17,"FINISHED",IF(AND(A12&gt;=INDEX(Drivers!$G$8:$G$13,B12),A12&lt;INDEX(Drivers!$G$8:$G$13,B12)+INDEX(Drivers!$J$8:$J$13,B12)),"PIT",IF(MOD(A12+INDEX(Drivers!$F$8:$F$13,B12),Control!$B$11)&lt;Control!$B$13,"BOOST","RACE"))))</x:f>
        <x:v>GRID</x:v>
      </x:c>
      <x:c r="F12" s="82" t="n">
        <x:f>IF(OR(E12="GRID",E12="FINISHED",E12="PIT"),0,MAX(Control!$B$15,(INDEX(Drivers!$D$8:$D$13,B12)+INDEX(Drivers!$E$8:$E$13,B12)*SIN((A12+INDEX(Drivers!$F$8:$F$13,B12)+Control!$B$16)*Control!$B$14))*INDEX(TrackMap!$M$8:$M$141,MOD(INT(D12)-1,Control!$B$7)+1)*IF(E12="BOOST",Control!$B$12,1)))</x:f>
        <x:v>0</x:v>
      </x:c>
      <x:c r="G12" s="82" t="n">
        <x:f>IF(A12=0,D12,MIN(Control!$B$17,D12+F12))</x:f>
        <x:v>-8</x:v>
      </x:c>
      <x:c r="H12" s="72" t="n">
        <x:f>MOD(INT(G12)-1,Control!$B$7)+1</x:f>
        <x:v>126</x:v>
      </x:c>
      <x:c r="I12" s="72" t="n">
        <x:f>MIN(Control!$B$6,MAX(1,INT(MAX(0,G12)/Control!$B$7)+1))</x:f>
        <x:v>1</x:v>
      </x:c>
      <x:c r="J12" s="72" t="n">
        <x:f>INDEX(Drivers!$H$8:$H$13,B12)</x:f>
        <x:v>1</x:v>
      </x:c>
      <x:c r="K12" s="72" t="n">
        <x:f>IF(J12=1,INDEX(TrackMap!$I$8:$I$141,H12),INDEX(TrackMap!$L$8:$L$141,H12))</x:f>
        <x:v>3125</x:v>
      </x:c>
      <x:c r="L12" s="72" t="str">
        <x:f>INDEX(TrackMap!$F$8:$F$141,H12)</x:f>
        <x:v>←</x:v>
      </x:c>
      <x:c r="M12" s="86" t="n">
        <x:f>MAX(0,G12/Control!$B$17)</x:f>
        <x:v>0</x:v>
      </x:c>
      <x:c r="N12" s="72" t="n">
        <x:f>0</x:f>
        <x:v>0</x:v>
      </x:c>
      <x:c r="O12" s="90" t="n">
        <x:f>IF(N12&gt;0,Control!$B$17+Control!$B$8+1-N12,G12)-B12/100000</x:f>
        <x:v>-8.00005</x:v>
      </x:c>
      <x:c r="P12" s="72" t="n">
        <x:f>COUNTIF($O$8:$O$13,"&gt;"&amp;O12)+1</x:f>
        <x:v>5</x:v>
      </x:c>
      <x:c r="Q12" s="82" t="n">
        <x:f>MAX($G$8:$G$13)-G12</x:f>
        <x:v>8</x:v>
      </x:c>
      <x:c r="R12" s="72" t="str">
        <x:f>INDEX(TrackMap!$B$8:$B$141,H12)</x:f>
        <x:v>发车大直道</x:v>
      </x:c>
    </x:row>
    <x:row r="13" ht="20" customHeight="1">
      <x:c r="A13" s="72" t="n">
        <x:v>0</x:v>
      </x:c>
      <x:c r="B13" s="72" t="n">
        <x:v>6</x:v>
      </x:c>
      <x:c r="C13" s="72" t="str">
        <x:f>INDEX(Drivers!$B$8:$B$13,B13)</x:f>
        <x:v>玫速</x:v>
      </x:c>
      <x:c r="D13" s="82" t="n">
        <x:f>INDEX(Drivers!$I$8:$I$13,B13)</x:f>
        <x:v>-10</x:v>
      </x:c>
      <x:c r="E13" s="82" t="str">
        <x:f>IF(A13=0,"GRID",IF(D13&gt;=Control!$B$17,"FINISHED",IF(AND(A13&gt;=INDEX(Drivers!$G$8:$G$13,B13),A13&lt;INDEX(Drivers!$G$8:$G$13,B13)+INDEX(Drivers!$J$8:$J$13,B13)),"PIT",IF(MOD(A13+INDEX(Drivers!$F$8:$F$13,B13),Control!$B$11)&lt;Control!$B$13,"BOOST","RACE"))))</x:f>
        <x:v>GRID</x:v>
      </x:c>
      <x:c r="F13" s="82" t="n">
        <x:f>IF(OR(E13="GRID",E13="FINISHED",E13="PIT"),0,MAX(Control!$B$15,(INDEX(Drivers!$D$8:$D$13,B13)+INDEX(Drivers!$E$8:$E$13,B13)*SIN((A13+INDEX(Drivers!$F$8:$F$13,B13)+Control!$B$16)*Control!$B$14))*INDEX(TrackMap!$M$8:$M$141,MOD(INT(D13)-1,Control!$B$7)+1)*IF(E13="BOOST",Control!$B$12,1)))</x:f>
        <x:v>0</x:v>
      </x:c>
      <x:c r="G13" s="82" t="n">
        <x:f>IF(A13=0,D13,MIN(Control!$B$17,D13+F13))</x:f>
        <x:v>-10</x:v>
      </x:c>
      <x:c r="H13" s="72" t="n">
        <x:f>MOD(INT(G13)-1,Control!$B$7)+1</x:f>
        <x:v>124</x:v>
      </x:c>
      <x:c r="I13" s="72" t="n">
        <x:f>MIN(Control!$B$6,MAX(1,INT(MAX(0,G13)/Control!$B$7)+1))</x:f>
        <x:v>1</x:v>
      </x:c>
      <x:c r="J13" s="72" t="n">
        <x:f>INDEX(Drivers!$H$8:$H$13,B13)</x:f>
        <x:v>2</x:v>
      </x:c>
      <x:c r="K13" s="72" t="n">
        <x:f>IF(J13=1,INDEX(TrackMap!$I$8:$I$141,H13),INDEX(TrackMap!$L$8:$L$141,H13))</x:f>
        <x:v>3027</x:v>
      </x:c>
      <x:c r="L13" s="72" t="str">
        <x:f>INDEX(TrackMap!$F$8:$F$141,H13)</x:f>
        <x:v>←</x:v>
      </x:c>
      <x:c r="M13" s="86" t="n">
        <x:f>MAX(0,G13/Control!$B$17)</x:f>
        <x:v>0</x:v>
      </x:c>
      <x:c r="N13" s="72" t="n">
        <x:f>0</x:f>
        <x:v>0</x:v>
      </x:c>
      <x:c r="O13" s="90" t="n">
        <x:f>IF(N13&gt;0,Control!$B$17+Control!$B$8+1-N13,G13)-B13/100000</x:f>
        <x:v>-10.00006</x:v>
      </x:c>
      <x:c r="P13" s="72" t="n">
        <x:f>COUNTIF($O$8:$O$13,"&gt;"&amp;O13)+1</x:f>
        <x:v>6</x:v>
      </x:c>
      <x:c r="Q13" s="82" t="n">
        <x:f>MAX($G$8:$G$13)-G13</x:f>
        <x:v>10</x:v>
      </x:c>
      <x:c r="R13" s="72" t="str">
        <x:f>INDEX(TrackMap!$B$8:$B$141,H13)</x:f>
        <x:v>发车大直道</x:v>
      </x:c>
    </x:row>
    <x:row r="14" ht="20" customHeight="1">
      <x:c r="A14" s="72" t="n">
        <x:v>1</x:v>
      </x:c>
      <x:c r="B14" s="72" t="n">
        <x:v>1</x:v>
      </x:c>
      <x:c r="C14" s="72" t="str">
        <x:f>INDEX(Drivers!$B$8:$B$13,B14)</x:f>
        <x:v>赤焰</x:v>
      </x:c>
      <x:c r="D14" s="82" t="n">
        <x:f>G8</x:f>
        <x:v>0</x:v>
      </x:c>
      <x:c r="E14" s="82" t="str">
        <x:f>IF(A14=0,"GRID",IF(D14&gt;=Control!$B$17,"FINISHED",IF(AND(A14&gt;=INDEX(Drivers!$G$8:$G$13,B14),A14&lt;INDEX(Drivers!$G$8:$G$13,B14)+INDEX(Drivers!$J$8:$J$13,B14)),"PIT",IF(MOD(A14+INDEX(Drivers!$F$8:$F$13,B14),Control!$B$11)&lt;Control!$B$13,"BOOST","RACE"))))</x:f>
        <x:v>BOOST</x:v>
      </x:c>
      <x:c r="F14" s="82" t="n">
        <x:f>IF(OR(E14="GRID",E14="FINISHED",E14="PIT"),0,MAX(Control!$B$15,(INDEX(Drivers!$D$8:$D$13,B14)+INDEX(Drivers!$E$8:$E$13,B14)*SIN((A14+INDEX(Drivers!$F$8:$F$13,B14)+Control!$B$16)*Control!$B$14))*INDEX(TrackMap!$M$8:$M$141,MOD(INT(D14)-1,Control!$B$7)+1)*IF(E14="BOOST",Control!$B$12,1)))</x:f>
        <x:v>3.455859736658453</x:v>
      </x:c>
      <x:c r="G14" s="82" t="n">
        <x:f>IF(A14=0,D14,MIN(Control!$B$17,D14+F14))</x:f>
        <x:v>3.455859736658453</x:v>
      </x:c>
      <x:c r="H14" s="72" t="n">
        <x:f>MOD(INT(G14)-1,Control!$B$7)+1</x:f>
        <x:v>3</x:v>
      </x:c>
      <x:c r="I14" s="72" t="n">
        <x:f>MIN(Control!$B$6,MAX(1,INT(MAX(0,G14)/Control!$B$7)+1))</x:f>
        <x:v>1</x:v>
      </x:c>
      <x:c r="J14" s="72" t="n">
        <x:f>INDEX(Drivers!$H$8:$H$13,B14)</x:f>
        <x:v>1</x:v>
      </x:c>
      <x:c r="K14" s="72" t="n">
        <x:f>IF(J14=1,INDEX(TrackMap!$I$8:$I$141,H14),INDEX(TrackMap!$L$8:$L$141,H14))</x:f>
        <x:v>3114</x:v>
      </x:c>
      <x:c r="L14" s="72" t="str">
        <x:f>INDEX(TrackMap!$F$8:$F$141,H14)</x:f>
        <x:v>←</x:v>
      </x:c>
      <x:c r="M14" s="86" t="n">
        <x:f>MAX(0,G14/Control!$B$17)</x:f>
        <x:v>0.005157999606952915</x:v>
      </x:c>
      <x:c r="N14" s="72" t="n">
        <x:f>IF(N8&gt;0,N8,IF(G14&gt;=Control!$B$17,A14,0))</x:f>
        <x:v>0</x:v>
      </x:c>
      <x:c r="O14" s="90" t="n">
        <x:f>IF(N14&gt;0,Control!$B$17+Control!$B$8+1-N14,G14)-B14/100000</x:f>
        <x:v>3.455849736658453</x:v>
      </x:c>
      <x:c r="P14" s="72" t="n">
        <x:f>COUNTIF($O$14:$O$19,"&gt;"&amp;O14)+1</x:f>
        <x:v>1</x:v>
      </x:c>
      <x:c r="Q14" s="82" t="n">
        <x:f>MAX($G$14:$G$19)-G14</x:f>
        <x:v>0</x:v>
      </x:c>
      <x:c r="R14" s="72" t="str">
        <x:f>INDEX(TrackMap!$B$8:$B$141,H14)</x:f>
        <x:v>发车大直道</x:v>
      </x:c>
    </x:row>
    <x:row r="15" ht="20" customHeight="1">
      <x:c r="A15" s="72" t="n">
        <x:v>1</x:v>
      </x:c>
      <x:c r="B15" s="72" t="n">
        <x:v>2</x:v>
      </x:c>
      <x:c r="C15" s="72" t="str">
        <x:f>INDEX(Drivers!$B$8:$B$13,B15)</x:f>
        <x:v>蓝电</x:v>
      </x:c>
      <x:c r="D15" s="82" t="n">
        <x:f>G9</x:f>
        <x:v>-2</x:v>
      </x:c>
      <x:c r="E15" s="82" t="str">
        <x:f>IF(A15=0,"GRID",IF(D15&gt;=Control!$B$17,"FINISHED",IF(AND(A15&gt;=INDEX(Drivers!$G$8:$G$13,B15),A15&lt;INDEX(Drivers!$G$8:$G$13,B15)+INDEX(Drivers!$J$8:$J$13,B15)),"PIT",IF(MOD(A15+INDEX(Drivers!$F$8:$F$13,B15),Control!$B$11)&lt;Control!$B$13,"BOOST","RACE"))))</x:f>
        <x:v>RACE</x:v>
      </x:c>
      <x:c r="F15" s="82" t="n">
        <x:f>IF(OR(E15="GRID",E15="FINISHED",E15="PIT"),0,MAX(Control!$B$15,(INDEX(Drivers!$D$8:$D$13,B15)+INDEX(Drivers!$E$8:$E$13,B15)*SIN((A15+INDEX(Drivers!$F$8:$F$13,B15)+Control!$B$16)*Control!$B$14))*INDEX(TrackMap!$M$8:$M$141,MOD(INT(D15)-1,Control!$B$7)+1)*IF(E15="BOOST",Control!$B$12,1)))</x:f>
        <x:v>4.155624900335718</x:v>
      </x:c>
      <x:c r="G15" s="82" t="n">
        <x:f>IF(A15=0,D15,MIN(Control!$B$17,D15+F15))</x:f>
        <x:v>2.1556249003357184</x:v>
      </x:c>
      <x:c r="H15" s="72" t="n">
        <x:f>MOD(INT(G15)-1,Control!$B$7)+1</x:f>
        <x:v>2</x:v>
      </x:c>
      <x:c r="I15" s="72" t="n">
        <x:f>MIN(Control!$B$6,MAX(1,INT(MAX(0,G15)/Control!$B$7)+1))</x:f>
        <x:v>1</x:v>
      </x:c>
      <x:c r="J15" s="72" t="n">
        <x:f>INDEX(Drivers!$H$8:$H$13,B15)</x:f>
        <x:v>2</x:v>
      </x:c>
      <x:c r="K15" s="72" t="n">
        <x:f>IF(J15=1,INDEX(TrackMap!$I$8:$I$141,H15),INDEX(TrackMap!$L$8:$L$141,H15))</x:f>
        <x:v>3015</x:v>
      </x:c>
      <x:c r="L15" s="72" t="str">
        <x:f>INDEX(TrackMap!$F$8:$F$141,H15)</x:f>
        <x:v>←</x:v>
      </x:c>
      <x:c r="M15" s="86" t="n">
        <x:f>MAX(0,G15/Control!$B$17)</x:f>
        <x:v>0.0032173505975159975</x:v>
      </x:c>
      <x:c r="N15" s="72" t="n">
        <x:f>IF(N9&gt;0,N9,IF(G15&gt;=Control!$B$17,A15,0))</x:f>
        <x:v>0</x:v>
      </x:c>
      <x:c r="O15" s="90" t="n">
        <x:f>IF(N15&gt;0,Control!$B$17+Control!$B$8+1-N15,G15)-B15/100000</x:f>
        <x:v>2.1556049003357183</x:v>
      </x:c>
      <x:c r="P15" s="72" t="n">
        <x:f>COUNTIF($O$14:$O$19,"&gt;"&amp;O15)+1</x:f>
        <x:v>2</x:v>
      </x:c>
      <x:c r="Q15" s="82" t="n">
        <x:f>MAX($G$14:$G$19)-G15</x:f>
        <x:v>1.3002348363227347</x:v>
      </x:c>
      <x:c r="R15" s="72" t="str">
        <x:f>INDEX(TrackMap!$B$8:$B$141,H15)</x:f>
        <x:v>发车大直道</x:v>
      </x:c>
    </x:row>
    <x:row r="16" ht="20" customHeight="1">
      <x:c r="A16" s="72" t="n">
        <x:v>1</x:v>
      </x:c>
      <x:c r="B16" s="72" t="n">
        <x:v>3</x:v>
      </x:c>
      <x:c r="C16" s="72" t="str">
        <x:f>INDEX(Drivers!$B$8:$B$13,B16)</x:f>
        <x:v>金翼</x:v>
      </x:c>
      <x:c r="D16" s="82" t="n">
        <x:f>G10</x:f>
        <x:v>-4</x:v>
      </x:c>
      <x:c r="E16" s="82" t="str">
        <x:f>IF(A16=0,"GRID",IF(D16&gt;=Control!$B$17,"FINISHED",IF(AND(A16&gt;=INDEX(Drivers!$G$8:$G$13,B16),A16&lt;INDEX(Drivers!$G$8:$G$13,B16)+INDEX(Drivers!$J$8:$J$13,B16)),"PIT",IF(MOD(A16+INDEX(Drivers!$F$8:$F$13,B16),Control!$B$11)&lt;Control!$B$13,"BOOST","RACE"))))</x:f>
        <x:v>RACE</x:v>
      </x:c>
      <x:c r="F16" s="82" t="n">
        <x:f>IF(OR(E16="GRID",E16="FINISHED",E16="PIT"),0,MAX(Control!$B$15,(INDEX(Drivers!$D$8:$D$13,B16)+INDEX(Drivers!$E$8:$E$13,B16)*SIN((A16+INDEX(Drivers!$F$8:$F$13,B16)+Control!$B$16)*Control!$B$14))*INDEX(TrackMap!$M$8:$M$141,MOD(INT(D16)-1,Control!$B$7)+1)*IF(E16="BOOST",Control!$B$12,1)))</x:f>
        <x:v>3.2175290347464065</x:v>
      </x:c>
      <x:c r="G16" s="82" t="n">
        <x:f>IF(A16=0,D16,MIN(Control!$B$17,D16+F16))</x:f>
        <x:v>-0.7824709652535935</x:v>
      </x:c>
      <x:c r="H16" s="72" t="n">
        <x:f>MOD(INT(G16)-1,Control!$B$7)+1</x:f>
        <x:v>133</x:v>
      </x:c>
      <x:c r="I16" s="72" t="n">
        <x:f>MIN(Control!$B$6,MAX(1,INT(MAX(0,G16)/Control!$B$7)+1))</x:f>
        <x:v>1</x:v>
      </x:c>
      <x:c r="J16" s="72" t="n">
        <x:f>INDEX(Drivers!$H$8:$H$13,B16)</x:f>
        <x:v>1</x:v>
      </x:c>
      <x:c r="K16" s="72" t="n">
        <x:f>IF(J16=1,INDEX(TrackMap!$I$8:$I$141,H16),INDEX(TrackMap!$L$8:$L$141,H16))</x:f>
        <x:v>3118</x:v>
      </x:c>
      <x:c r="L16" s="72" t="str">
        <x:f>INDEX(TrackMap!$F$8:$F$141,H16)</x:f>
        <x:v>←</x:v>
      </x:c>
      <x:c r="M16" s="86" t="n">
        <x:f>MAX(0,G16/Control!$B$17)</x:f>
        <x:v>0</x:v>
      </x:c>
      <x:c r="N16" s="72" t="n">
        <x:f>IF(N10&gt;0,N10,IF(G16&gt;=Control!$B$17,A16,0))</x:f>
        <x:v>0</x:v>
      </x:c>
      <x:c r="O16" s="90" t="n">
        <x:f>IF(N16&gt;0,Control!$B$17+Control!$B$8+1-N16,G16)-B16/100000</x:f>
        <x:v>-0.7825009652535935</x:v>
      </x:c>
      <x:c r="P16" s="72" t="n">
        <x:f>COUNTIF($O$14:$O$19,"&gt;"&amp;O16)+1</x:f>
        <x:v>3</x:v>
      </x:c>
      <x:c r="Q16" s="82" t="n">
        <x:f>MAX($G$14:$G$19)-G16</x:f>
        <x:v>4.238330701912046</x:v>
      </x:c>
      <x:c r="R16" s="72" t="str">
        <x:f>INDEX(TrackMap!$B$8:$B$141,H16)</x:f>
        <x:v>发车大直道</x:v>
      </x:c>
    </x:row>
    <x:row r="17" ht="20" customHeight="1">
      <x:c r="A17" s="72" t="n">
        <x:v>1</x:v>
      </x:c>
      <x:c r="B17" s="72" t="n">
        <x:v>4</x:v>
      </x:c>
      <x:c r="C17" s="72" t="str">
        <x:f>INDEX(Drivers!$B$8:$B$13,B17)</x:f>
        <x:v>紫影</x:v>
      </x:c>
      <x:c r="D17" s="82" t="n">
        <x:f>G11</x:f>
        <x:v>-6</x:v>
      </x:c>
      <x:c r="E17" s="82" t="str">
        <x:f>IF(A17=0,"GRID",IF(D17&gt;=Control!$B$17,"FINISHED",IF(AND(A17&gt;=INDEX(Drivers!$G$8:$G$13,B17),A17&lt;INDEX(Drivers!$G$8:$G$13,B17)+INDEX(Drivers!$J$8:$J$13,B17)),"PIT",IF(MOD(A17+INDEX(Drivers!$F$8:$F$13,B17),Control!$B$11)&lt;Control!$B$13,"BOOST","RACE"))))</x:f>
        <x:v>RACE</x:v>
      </x:c>
      <x:c r="F17" s="82" t="n">
        <x:f>IF(OR(E17="GRID",E17="FINISHED",E17="PIT"),0,MAX(Control!$B$15,(INDEX(Drivers!$D$8:$D$13,B17)+INDEX(Drivers!$E$8:$E$13,B17)*SIN((A17+INDEX(Drivers!$F$8:$F$13,B17)+Control!$B$16)*Control!$B$14))*INDEX(TrackMap!$M$8:$M$141,MOD(INT(D17)-1,Control!$B$7)+1)*IF(E17="BOOST",Control!$B$12,1)))</x:f>
        <x:v>3.9968881105927396</x:v>
      </x:c>
      <x:c r="G17" s="82" t="n">
        <x:f>IF(A17=0,D17,MIN(Control!$B$17,D17+F17))</x:f>
        <x:v>-2.0031118894072604</x:v>
      </x:c>
      <x:c r="H17" s="72" t="n">
        <x:f>MOD(INT(G17)-1,Control!$B$7)+1</x:f>
        <x:v>131</x:v>
      </x:c>
      <x:c r="I17" s="72" t="n">
        <x:f>MIN(Control!$B$6,MAX(1,INT(MAX(0,G17)/Control!$B$7)+1))</x:f>
        <x:v>1</x:v>
      </x:c>
      <x:c r="J17" s="72" t="n">
        <x:f>INDEX(Drivers!$H$8:$H$13,B17)</x:f>
        <x:v>2</x:v>
      </x:c>
      <x:c r="K17" s="72" t="n">
        <x:f>IF(J17=1,INDEX(TrackMap!$I$8:$I$141,H17),INDEX(TrackMap!$L$8:$L$141,H17))</x:f>
        <x:v>3020</x:v>
      </x:c>
      <x:c r="L17" s="72" t="str">
        <x:f>INDEX(TrackMap!$F$8:$F$141,H17)</x:f>
        <x:v>←</x:v>
      </x:c>
      <x:c r="M17" s="86" t="n">
        <x:f>MAX(0,G17/Control!$B$17)</x:f>
        <x:v>0</x:v>
      </x:c>
      <x:c r="N17" s="72" t="n">
        <x:f>IF(N11&gt;0,N11,IF(G17&gt;=Control!$B$17,A17,0))</x:f>
        <x:v>0</x:v>
      </x:c>
      <x:c r="O17" s="90" t="n">
        <x:f>IF(N17&gt;0,Control!$B$17+Control!$B$8+1-N17,G17)-B17/100000</x:f>
        <x:v>-2.00315188940726</x:v>
      </x:c>
      <x:c r="P17" s="72" t="n">
        <x:f>COUNTIF($O$14:$O$19,"&gt;"&amp;O17)+1</x:f>
        <x:v>4</x:v>
      </x:c>
      <x:c r="Q17" s="82" t="n">
        <x:f>MAX($G$14:$G$19)-G17</x:f>
        <x:v>5.458971626065713</x:v>
      </x:c>
      <x:c r="R17" s="72" t="str">
        <x:f>INDEX(TrackMap!$B$8:$B$141,H17)</x:f>
        <x:v>发车大直道</x:v>
      </x:c>
    </x:row>
    <x:row r="18" ht="20" customHeight="1">
      <x:c r="A18" s="72" t="n">
        <x:v>1</x:v>
      </x:c>
      <x:c r="B18" s="72" t="n">
        <x:v>5</x:v>
      </x:c>
      <x:c r="C18" s="72" t="str">
        <x:f>INDEX(Drivers!$B$8:$B$13,B18)</x:f>
        <x:v>青锋</x:v>
      </x:c>
      <x:c r="D18" s="82" t="n">
        <x:f>G12</x:f>
        <x:v>-8</x:v>
      </x:c>
      <x:c r="E18" s="82" t="str">
        <x:f>IF(A18=0,"GRID",IF(D18&gt;=Control!$B$17,"FINISHED",IF(AND(A18&gt;=INDEX(Drivers!$G$8:$G$13,B18),A18&lt;INDEX(Drivers!$G$8:$G$13,B18)+INDEX(Drivers!$J$8:$J$13,B18)),"PIT",IF(MOD(A18+INDEX(Drivers!$F$8:$F$13,B18),Control!$B$11)&lt;Control!$B$13,"BOOST","RACE"))))</x:f>
        <x:v>RACE</x:v>
      </x:c>
      <x:c r="F18" s="82" t="n">
        <x:f>IF(OR(E18="GRID",E18="FINISHED",E18="PIT"),0,MAX(Control!$B$15,(INDEX(Drivers!$D$8:$D$13,B18)+INDEX(Drivers!$E$8:$E$13,B18)*SIN((A18+INDEX(Drivers!$F$8:$F$13,B18)+Control!$B$16)*Control!$B$14))*INDEX(TrackMap!$M$8:$M$141,MOD(INT(D18)-1,Control!$B$7)+1)*IF(E18="BOOST",Control!$B$12,1)))</x:f>
        <x:v>3.9832384191153034</x:v>
      </x:c>
      <x:c r="G18" s="82" t="n">
        <x:f>IF(A18=0,D18,MIN(Control!$B$17,D18+F18))</x:f>
        <x:v>-4.016761580884697</x:v>
      </x:c>
      <x:c r="H18" s="72" t="n">
        <x:f>MOD(INT(G18)-1,Control!$B$7)+1</x:f>
        <x:v>129</x:v>
      </x:c>
      <x:c r="I18" s="72" t="n">
        <x:f>MIN(Control!$B$6,MAX(1,INT(MAX(0,G18)/Control!$B$7)+1))</x:f>
        <x:v>1</x:v>
      </x:c>
      <x:c r="J18" s="72" t="n">
        <x:f>INDEX(Drivers!$H$8:$H$13,B18)</x:f>
        <x:v>1</x:v>
      </x:c>
      <x:c r="K18" s="72" t="n">
        <x:f>IF(J18=1,INDEX(TrackMap!$I$8:$I$141,H18),INDEX(TrackMap!$L$8:$L$141,H18))</x:f>
        <x:v>3122</x:v>
      </x:c>
      <x:c r="L18" s="72" t="str">
        <x:f>INDEX(TrackMap!$F$8:$F$141,H18)</x:f>
        <x:v>←</x:v>
      </x:c>
      <x:c r="M18" s="86" t="n">
        <x:f>MAX(0,G18/Control!$B$17)</x:f>
        <x:v>0</x:v>
      </x:c>
      <x:c r="N18" s="72" t="n">
        <x:f>IF(N12&gt;0,N12,IF(G18&gt;=Control!$B$17,A18,0))</x:f>
        <x:v>0</x:v>
      </x:c>
      <x:c r="O18" s="90" t="n">
        <x:f>IF(N18&gt;0,Control!$B$17+Control!$B$8+1-N18,G18)-B18/100000</x:f>
        <x:v>-4.0168115808846965</x:v>
      </x:c>
      <x:c r="P18" s="72" t="n">
        <x:f>COUNTIF($O$14:$O$19,"&gt;"&amp;O18)+1</x:f>
        <x:v>5</x:v>
      </x:c>
      <x:c r="Q18" s="82" t="n">
        <x:f>MAX($G$14:$G$19)-G18</x:f>
        <x:v>7.472621317543149</x:v>
      </x:c>
      <x:c r="R18" s="72" t="str">
        <x:f>INDEX(TrackMap!$B$8:$B$141,H18)</x:f>
        <x:v>发车大直道</x:v>
      </x:c>
    </x:row>
    <x:row r="19" ht="20" customHeight="1">
      <x:c r="A19" s="72" t="n">
        <x:v>1</x:v>
      </x:c>
      <x:c r="B19" s="72" t="n">
        <x:v>6</x:v>
      </x:c>
      <x:c r="C19" s="72" t="str">
        <x:f>INDEX(Drivers!$B$8:$B$13,B19)</x:f>
        <x:v>玫速</x:v>
      </x:c>
      <x:c r="D19" s="82" t="n">
        <x:f>G13</x:f>
        <x:v>-10</x:v>
      </x:c>
      <x:c r="E19" s="82" t="str">
        <x:f>IF(A19=0,"GRID",IF(D19&gt;=Control!$B$17,"FINISHED",IF(AND(A19&gt;=INDEX(Drivers!$G$8:$G$13,B19),A19&lt;INDEX(Drivers!$G$8:$G$13,B19)+INDEX(Drivers!$J$8:$J$13,B19)),"PIT",IF(MOD(A19+INDEX(Drivers!$F$8:$F$13,B19),Control!$B$11)&lt;Control!$B$13,"BOOST","RACE"))))</x:f>
        <x:v>RACE</x:v>
      </x:c>
      <x:c r="F19" s="82" t="n">
        <x:f>IF(OR(E19="GRID",E19="FINISHED",E19="PIT"),0,MAX(Control!$B$15,(INDEX(Drivers!$D$8:$D$13,B19)+INDEX(Drivers!$E$8:$E$13,B19)*SIN((A19+INDEX(Drivers!$F$8:$F$13,B19)+Control!$B$16)*Control!$B$14))*INDEX(TrackMap!$M$8:$M$141,MOD(INT(D19)-1,Control!$B$7)+1)*IF(E19="BOOST",Control!$B$12,1)))</x:f>
        <x:v>3.5636093832476616</x:v>
      </x:c>
      <x:c r="G19" s="82" t="n">
        <x:f>IF(A19=0,D19,MIN(Control!$B$17,D19+F19))</x:f>
        <x:v>-6.436390616752338</x:v>
      </x:c>
      <x:c r="H19" s="72" t="n">
        <x:f>MOD(INT(G19)-1,Control!$B$7)+1</x:f>
        <x:v>127</x:v>
      </x:c>
      <x:c r="I19" s="72" t="n">
        <x:f>MIN(Control!$B$6,MAX(1,INT(MAX(0,G19)/Control!$B$7)+1))</x:f>
        <x:v>1</x:v>
      </x:c>
      <x:c r="J19" s="72" t="n">
        <x:f>INDEX(Drivers!$H$8:$H$13,B19)</x:f>
        <x:v>2</x:v>
      </x:c>
      <x:c r="K19" s="72" t="n">
        <x:f>IF(J19=1,INDEX(TrackMap!$I$8:$I$141,H19),INDEX(TrackMap!$L$8:$L$141,H19))</x:f>
        <x:v>3024</x:v>
      </x:c>
      <x:c r="L19" s="72" t="str">
        <x:f>INDEX(TrackMap!$F$8:$F$141,H19)</x:f>
        <x:v>←</x:v>
      </x:c>
      <x:c r="M19" s="86" t="n">
        <x:f>MAX(0,G19/Control!$B$17)</x:f>
        <x:v>0</x:v>
      </x:c>
      <x:c r="N19" s="72" t="n">
        <x:f>IF(N13&gt;0,N13,IF(G19&gt;=Control!$B$17,A19,0))</x:f>
        <x:v>0</x:v>
      </x:c>
      <x:c r="O19" s="90" t="n">
        <x:f>IF(N19&gt;0,Control!$B$17+Control!$B$8+1-N19,G19)-B19/100000</x:f>
        <x:v>-6.436450616752339</x:v>
      </x:c>
      <x:c r="P19" s="72" t="n">
        <x:f>COUNTIF($O$14:$O$19,"&gt;"&amp;O19)+1</x:f>
        <x:v>6</x:v>
      </x:c>
      <x:c r="Q19" s="82" t="n">
        <x:f>MAX($G$14:$G$19)-G19</x:f>
        <x:v>9.892250353410791</x:v>
      </x:c>
      <x:c r="R19" s="72" t="str">
        <x:f>INDEX(TrackMap!$B$8:$B$141,H19)</x:f>
        <x:v>发车大直道</x:v>
      </x:c>
    </x:row>
    <x:row r="20" ht="20" customHeight="1">
      <x:c r="A20" s="72" t="n">
        <x:v>2</x:v>
      </x:c>
      <x:c r="B20" s="72" t="n">
        <x:v>1</x:v>
      </x:c>
      <x:c r="C20" s="72" t="str">
        <x:f>INDEX(Drivers!$B$8:$B$13,B20)</x:f>
        <x:v>赤焰</x:v>
      </x:c>
      <x:c r="D20" s="82" t="n">
        <x:f>G14</x:f>
        <x:v>3.455859736658453</x:v>
      </x:c>
      <x:c r="E20" s="82" t="str">
        <x:f>IF(A20=0,"GRID",IF(D20&gt;=Control!$B$17,"FINISHED",IF(AND(A20&gt;=INDEX(Drivers!$G$8:$G$13,B20),A20&lt;INDEX(Drivers!$G$8:$G$13,B20)+INDEX(Drivers!$J$8:$J$13,B20)),"PIT",IF(MOD(A20+INDEX(Drivers!$F$8:$F$13,B20),Control!$B$11)&lt;Control!$B$13,"BOOST","RACE"))))</x:f>
        <x:v>RACE</x:v>
      </x:c>
      <x:c r="F20" s="82" t="n">
        <x:f>IF(OR(E20="GRID",E20="FINISHED",E20="PIT"),0,MAX(Control!$B$15,(INDEX(Drivers!$D$8:$D$13,B20)+INDEX(Drivers!$E$8:$E$13,B20)*SIN((A20+INDEX(Drivers!$F$8:$F$13,B20)+Control!$B$16)*Control!$B$14))*INDEX(TrackMap!$M$8:$M$141,MOD(INT(D20)-1,Control!$B$7)+1)*IF(E20="BOOST",Control!$B$12,1)))</x:f>
        <x:v>3.4546105420065762</x:v>
      </x:c>
      <x:c r="G20" s="82" t="n">
        <x:f>IF(A20=0,D20,MIN(Control!$B$17,D20+F20))</x:f>
        <x:v>6.910470278665029</x:v>
      </x:c>
      <x:c r="H20" s="72" t="n">
        <x:f>MOD(INT(G20)-1,Control!$B$7)+1</x:f>
        <x:v>6</x:v>
      </x:c>
      <x:c r="I20" s="72" t="n">
        <x:f>MIN(Control!$B$6,MAX(1,INT(MAX(0,G20)/Control!$B$7)+1))</x:f>
        <x:v>1</x:v>
      </x:c>
      <x:c r="J20" s="72" t="n">
        <x:f>INDEX(Drivers!$H$8:$H$13,B20)</x:f>
        <x:v>1</x:v>
      </x:c>
      <x:c r="K20" s="72" t="n">
        <x:f>IF(J20=1,INDEX(TrackMap!$I$8:$I$141,H20),INDEX(TrackMap!$L$8:$L$141,H20))</x:f>
        <x:v>3111</x:v>
      </x:c>
      <x:c r="L20" s="72" t="str">
        <x:f>INDEX(TrackMap!$F$8:$F$141,H20)</x:f>
        <x:v>←</x:v>
      </x:c>
      <x:c r="M20" s="86" t="n">
        <x:f>MAX(0,G20/Control!$B$17)</x:f>
        <x:v>0.010314134744276162</x:v>
      </x:c>
      <x:c r="N20" s="72" t="n">
        <x:f>IF(N14&gt;0,N14,IF(G20&gt;=Control!$B$17,A20,0))</x:f>
        <x:v>0</x:v>
      </x:c>
      <x:c r="O20" s="90" t="n">
        <x:f>IF(N20&gt;0,Control!$B$17+Control!$B$8+1-N20,G20)-B20/100000</x:f>
        <x:v>6.910460278665029</x:v>
      </x:c>
      <x:c r="P20" s="72" t="n">
        <x:f>COUNTIF($O$20:$O$25,"&gt;"&amp;O20)+1</x:f>
        <x:v>1</x:v>
      </x:c>
      <x:c r="Q20" s="82" t="n">
        <x:f>MAX($G$20:$G$25)-G20</x:f>
        <x:v>0</x:v>
      </x:c>
      <x:c r="R20" s="72" t="str">
        <x:f>INDEX(TrackMap!$B$8:$B$141,H20)</x:f>
        <x:v>发车大直道</x:v>
      </x:c>
    </x:row>
    <x:row r="21" ht="20" customHeight="1">
      <x:c r="A21" s="72" t="n">
        <x:v>2</x:v>
      </x:c>
      <x:c r="B21" s="72" t="n">
        <x:v>2</x:v>
      </x:c>
      <x:c r="C21" s="72" t="str">
        <x:f>INDEX(Drivers!$B$8:$B$13,B21)</x:f>
        <x:v>蓝电</x:v>
      </x:c>
      <x:c r="D21" s="82" t="n">
        <x:f>G15</x:f>
        <x:v>2.1556249003357184</x:v>
      </x:c>
      <x:c r="E21" s="82" t="str">
        <x:f>IF(A21=0,"GRID",IF(D21&gt;=Control!$B$17,"FINISHED",IF(AND(A21&gt;=INDEX(Drivers!$G$8:$G$13,B21),A21&lt;INDEX(Drivers!$G$8:$G$13,B21)+INDEX(Drivers!$J$8:$J$13,B21)),"PIT",IF(MOD(A21+INDEX(Drivers!$F$8:$F$13,B21),Control!$B$11)&lt;Control!$B$13,"BOOST","RACE"))))</x:f>
        <x:v>RACE</x:v>
      </x:c>
      <x:c r="F21" s="82" t="n">
        <x:f>IF(OR(E21="GRID",E21="FINISHED",E21="PIT"),0,MAX(Control!$B$15,(INDEX(Drivers!$D$8:$D$13,B21)+INDEX(Drivers!$E$8:$E$13,B21)*SIN((A21+INDEX(Drivers!$F$8:$F$13,B21)+Control!$B$16)*Control!$B$14))*INDEX(TrackMap!$M$8:$M$141,MOD(INT(D21)-1,Control!$B$7)+1)*IF(E21="BOOST",Control!$B$12,1)))</x:f>
        <x:v>4.055456301945117</x:v>
      </x:c>
      <x:c r="G21" s="82" t="n">
        <x:f>IF(A21=0,D21,MIN(Control!$B$17,D21+F21))</x:f>
        <x:v>6.211081202280836</x:v>
      </x:c>
      <x:c r="H21" s="72" t="n">
        <x:f>MOD(INT(G21)-1,Control!$B$7)+1</x:f>
        <x:v>6</x:v>
      </x:c>
      <x:c r="I21" s="72" t="n">
        <x:f>MIN(Control!$B$6,MAX(1,INT(MAX(0,G21)/Control!$B$7)+1))</x:f>
        <x:v>1</x:v>
      </x:c>
      <x:c r="J21" s="72" t="n">
        <x:f>INDEX(Drivers!$H$8:$H$13,B21)</x:f>
        <x:v>2</x:v>
      </x:c>
      <x:c r="K21" s="72" t="n">
        <x:f>IF(J21=1,INDEX(TrackMap!$I$8:$I$141,H21),INDEX(TrackMap!$L$8:$L$141,H21))</x:f>
        <x:v>3011</x:v>
      </x:c>
      <x:c r="L21" s="72" t="str">
        <x:f>INDEX(TrackMap!$F$8:$F$141,H21)</x:f>
        <x:v>←</x:v>
      </x:c>
      <x:c r="M21" s="86" t="n">
        <x:f>MAX(0,G21/Control!$B$17)</x:f>
        <x:v>0.009270270451165427</x:v>
      </x:c>
      <x:c r="N21" s="72" t="n">
        <x:f>IF(N15&gt;0,N15,IF(G21&gt;=Control!$B$17,A21,0))</x:f>
        <x:v>0</x:v>
      </x:c>
      <x:c r="O21" s="90" t="n">
        <x:f>IF(N21&gt;0,Control!$B$17+Control!$B$8+1-N21,G21)-B21/100000</x:f>
        <x:v>6.211061202280836</x:v>
      </x:c>
      <x:c r="P21" s="72" t="n">
        <x:f>COUNTIF($O$20:$O$25,"&gt;"&amp;O21)+1</x:f>
        <x:v>2</x:v>
      </x:c>
      <x:c r="Q21" s="82" t="n">
        <x:f>MAX($G$20:$G$25)-G21</x:f>
        <x:v>0.6993890763841932</x:v>
      </x:c>
      <x:c r="R21" s="72" t="str">
        <x:f>INDEX(TrackMap!$B$8:$B$141,H21)</x:f>
        <x:v>发车大直道</x:v>
      </x:c>
    </x:row>
    <x:row r="22" ht="20" customHeight="1">
      <x:c r="A22" s="72" t="n">
        <x:v>2</x:v>
      </x:c>
      <x:c r="B22" s="72" t="n">
        <x:v>3</x:v>
      </x:c>
      <x:c r="C22" s="72" t="str">
        <x:f>INDEX(Drivers!$B$8:$B$13,B22)</x:f>
        <x:v>金翼</x:v>
      </x:c>
      <x:c r="D22" s="82" t="n">
        <x:f>G16</x:f>
        <x:v>-0.7824709652535935</x:v>
      </x:c>
      <x:c r="E22" s="82" t="str">
        <x:f>IF(A22=0,"GRID",IF(D22&gt;=Control!$B$17,"FINISHED",IF(AND(A22&gt;=INDEX(Drivers!$G$8:$G$13,B22),A22&lt;INDEX(Drivers!$G$8:$G$13,B22)+INDEX(Drivers!$J$8:$J$13,B22)),"PIT",IF(MOD(A22+INDEX(Drivers!$F$8:$F$13,B22),Control!$B$11)&lt;Control!$B$13,"BOOST","RACE"))))</x:f>
        <x:v>RACE</x:v>
      </x:c>
      <x:c r="F22" s="82" t="n">
        <x:f>IF(OR(E22="GRID",E22="FINISHED",E22="PIT"),0,MAX(Control!$B$15,(INDEX(Drivers!$D$8:$D$13,B22)+INDEX(Drivers!$E$8:$E$13,B22)*SIN((A22+INDEX(Drivers!$F$8:$F$13,B22)+Control!$B$16)*Control!$B$14))*INDEX(TrackMap!$M$8:$M$141,MOD(INT(D22)-1,Control!$B$7)+1)*IF(E22="BOOST",Control!$B$12,1)))</x:f>
        <x:v>2.4981244906004445</x:v>
      </x:c>
      <x:c r="G22" s="82" t="n">
        <x:f>IF(A22=0,D22,MIN(Control!$B$17,D22+F22))</x:f>
        <x:v>1.715653525346851</x:v>
      </x:c>
      <x:c r="H22" s="72" t="n">
        <x:f>MOD(INT(G22)-1,Control!$B$7)+1</x:f>
        <x:v>1</x:v>
      </x:c>
      <x:c r="I22" s="72" t="n">
        <x:f>MIN(Control!$B$6,MAX(1,INT(MAX(0,G22)/Control!$B$7)+1))</x:f>
        <x:v>1</x:v>
      </x:c>
      <x:c r="J22" s="72" t="n">
        <x:f>INDEX(Drivers!$H$8:$H$13,B22)</x:f>
        <x:v>1</x:v>
      </x:c>
      <x:c r="K22" s="72" t="n">
        <x:f>IF(J22=1,INDEX(TrackMap!$I$8:$I$141,H22),INDEX(TrackMap!$L$8:$L$141,H22))</x:f>
        <x:v>3116</x:v>
      </x:c>
      <x:c r="L22" s="72" t="str">
        <x:f>INDEX(TrackMap!$F$8:$F$141,H22)</x:f>
        <x:v>←</x:v>
      </x:c>
      <x:c r="M22" s="86" t="n">
        <x:f>MAX(0,G22/Control!$B$17)</x:f>
        <x:v>0.0025606769035027626</x:v>
      </x:c>
      <x:c r="N22" s="72" t="n">
        <x:f>IF(N16&gt;0,N16,IF(G22&gt;=Control!$B$17,A22,0))</x:f>
        <x:v>0</x:v>
      </x:c>
      <x:c r="O22" s="90" t="n">
        <x:f>IF(N22&gt;0,Control!$B$17+Control!$B$8+1-N22,G22)-B22/100000</x:f>
        <x:v>1.715623525346851</x:v>
      </x:c>
      <x:c r="P22" s="72" t="n">
        <x:f>COUNTIF($O$20:$O$25,"&gt;"&amp;O22)+1</x:f>
        <x:v>4</x:v>
      </x:c>
      <x:c r="Q22" s="82" t="n">
        <x:f>MAX($G$20:$G$25)-G22</x:f>
        <x:v>5.194816753318178</x:v>
      </x:c>
      <x:c r="R22" s="72" t="str">
        <x:f>INDEX(TrackMap!$B$8:$B$141,H22)</x:f>
        <x:v>发车大直道</x:v>
      </x:c>
    </x:row>
    <x:row r="23" ht="20" customHeight="1">
      <x:c r="A23" s="72" t="n">
        <x:v>2</x:v>
      </x:c>
      <x:c r="B23" s="72" t="n">
        <x:v>4</x:v>
      </x:c>
      <x:c r="C23" s="72" t="str">
        <x:f>INDEX(Drivers!$B$8:$B$13,B23)</x:f>
        <x:v>紫影</x:v>
      </x:c>
      <x:c r="D23" s="82" t="n">
        <x:f>G17</x:f>
        <x:v>-2.0031118894072604</x:v>
      </x:c>
      <x:c r="E23" s="82" t="str">
        <x:f>IF(A23=0,"GRID",IF(D23&gt;=Control!$B$17,"FINISHED",IF(AND(A23&gt;=INDEX(Drivers!$G$8:$G$13,B23),A23&lt;INDEX(Drivers!$G$8:$G$13,B23)+INDEX(Drivers!$J$8:$J$13,B23)),"PIT",IF(MOD(A23+INDEX(Drivers!$F$8:$F$13,B23),Control!$B$11)&lt;Control!$B$13,"BOOST","RACE"))))</x:f>
        <x:v>RACE</x:v>
      </x:c>
      <x:c r="F23" s="82" t="n">
        <x:f>IF(OR(E23="GRID",E23="FINISHED",E23="PIT"),0,MAX(Control!$B$15,(INDEX(Drivers!$D$8:$D$13,B23)+INDEX(Drivers!$E$8:$E$13,B23)*SIN((A23+INDEX(Drivers!$F$8:$F$13,B23)+Control!$B$16)*Control!$B$14))*INDEX(TrackMap!$M$8:$M$141,MOD(INT(D23)-1,Control!$B$7)+1)*IF(E23="BOOST",Control!$B$12,1)))</x:f>
        <x:v>4.122971946638507</x:v>
      </x:c>
      <x:c r="G23" s="82" t="n">
        <x:f>IF(A23=0,D23,MIN(Control!$B$17,D23+F23))</x:f>
        <x:v>2.1198600572312465</x:v>
      </x:c>
      <x:c r="H23" s="72" t="n">
        <x:f>MOD(INT(G23)-1,Control!$B$7)+1</x:f>
        <x:v>2</x:v>
      </x:c>
      <x:c r="I23" s="72" t="n">
        <x:f>MIN(Control!$B$6,MAX(1,INT(MAX(0,G23)/Control!$B$7)+1))</x:f>
        <x:v>1</x:v>
      </x:c>
      <x:c r="J23" s="72" t="n">
        <x:f>INDEX(Drivers!$H$8:$H$13,B23)</x:f>
        <x:v>2</x:v>
      </x:c>
      <x:c r="K23" s="72" t="n">
        <x:f>IF(J23=1,INDEX(TrackMap!$I$8:$I$141,H23),INDEX(TrackMap!$L$8:$L$141,H23))</x:f>
        <x:v>3015</x:v>
      </x:c>
      <x:c r="L23" s="72" t="str">
        <x:f>INDEX(TrackMap!$F$8:$F$141,H23)</x:f>
        <x:v>←</x:v>
      </x:c>
      <x:c r="M23" s="86" t="n">
        <x:f>MAX(0,G23/Control!$B$17)</x:f>
        <x:v>0.0031639702346735023</x:v>
      </x:c>
      <x:c r="N23" s="72" t="n">
        <x:f>IF(N17&gt;0,N17,IF(G23&gt;=Control!$B$17,A23,0))</x:f>
        <x:v>0</x:v>
      </x:c>
      <x:c r="O23" s="90" t="n">
        <x:f>IF(N23&gt;0,Control!$B$17+Control!$B$8+1-N23,G23)-B23/100000</x:f>
        <x:v>2.1198200572312467</x:v>
      </x:c>
      <x:c r="P23" s="72" t="n">
        <x:f>COUNTIF($O$20:$O$25,"&gt;"&amp;O23)+1</x:f>
        <x:v>3</x:v>
      </x:c>
      <x:c r="Q23" s="82" t="n">
        <x:f>MAX($G$20:$G$25)-G23</x:f>
        <x:v>4.7906102214337825</x:v>
      </x:c>
      <x:c r="R23" s="72" t="str">
        <x:f>INDEX(TrackMap!$B$8:$B$141,H23)</x:f>
        <x:v>发车大直道</x:v>
      </x:c>
    </x:row>
    <x:row r="24" ht="20" customHeight="1">
      <x:c r="A24" s="72" t="n">
        <x:v>2</x:v>
      </x:c>
      <x:c r="B24" s="72" t="n">
        <x:v>5</x:v>
      </x:c>
      <x:c r="C24" s="72" t="str">
        <x:f>INDEX(Drivers!$B$8:$B$13,B24)</x:f>
        <x:v>青锋</x:v>
      </x:c>
      <x:c r="D24" s="82" t="n">
        <x:f>G18</x:f>
        <x:v>-4.016761580884697</x:v>
      </x:c>
      <x:c r="E24" s="82" t="str">
        <x:f>IF(A24=0,"GRID",IF(D24&gt;=Control!$B$17,"FINISHED",IF(AND(A24&gt;=INDEX(Drivers!$G$8:$G$13,B24),A24&lt;INDEX(Drivers!$G$8:$G$13,B24)+INDEX(Drivers!$J$8:$J$13,B24)),"PIT",IF(MOD(A24+INDEX(Drivers!$F$8:$F$13,B24),Control!$B$11)&lt;Control!$B$13,"BOOST","RACE"))))</x:f>
        <x:v>RACE</x:v>
      </x:c>
      <x:c r="F24" s="82" t="n">
        <x:f>IF(OR(E24="GRID",E24="FINISHED",E24="PIT"),0,MAX(Control!$B$15,(INDEX(Drivers!$D$8:$D$13,B24)+INDEX(Drivers!$E$8:$E$13,B24)*SIN((A24+INDEX(Drivers!$F$8:$F$13,B24)+Control!$B$16)*Control!$B$14))*INDEX(TrackMap!$M$8:$M$141,MOD(INT(D24)-1,Control!$B$7)+1)*IF(E24="BOOST",Control!$B$12,1)))</x:f>
        <x:v>4.097328209822046</x:v>
      </x:c>
      <x:c r="G24" s="82" t="n">
        <x:f>IF(A24=0,D24,MIN(Control!$B$17,D24+F24))</x:f>
        <x:v>0.08056662893734945</x:v>
      </x:c>
      <x:c r="H24" s="72" t="n">
        <x:f>MOD(INT(G24)-1,Control!$B$7)+1</x:f>
        <x:v>134</x:v>
      </x:c>
      <x:c r="I24" s="72" t="n">
        <x:f>MIN(Control!$B$6,MAX(1,INT(MAX(0,G24)/Control!$B$7)+1))</x:f>
        <x:v>1</x:v>
      </x:c>
      <x:c r="J24" s="72" t="n">
        <x:f>INDEX(Drivers!$H$8:$H$13,B24)</x:f>
        <x:v>1</x:v>
      </x:c>
      <x:c r="K24" s="72" t="n">
        <x:f>IF(J24=1,INDEX(TrackMap!$I$8:$I$141,H24),INDEX(TrackMap!$L$8:$L$141,H24))</x:f>
        <x:v>3117</x:v>
      </x:c>
      <x:c r="L24" s="72" t="str">
        <x:f>INDEX(TrackMap!$F$8:$F$141,H24)</x:f>
        <x:v>←</x:v>
      </x:c>
      <x:c r="M24" s="86" t="n">
        <x:f>MAX(0,G24/Control!$B$17)</x:f>
        <x:v>0.00012024869990649171</x:v>
      </x:c>
      <x:c r="N24" s="72" t="n">
        <x:f>IF(N18&gt;0,N18,IF(G24&gt;=Control!$B$17,A24,0))</x:f>
        <x:v>0</x:v>
      </x:c>
      <x:c r="O24" s="90" t="n">
        <x:f>IF(N24&gt;0,Control!$B$17+Control!$B$8+1-N24,G24)-B24/100000</x:f>
        <x:v>0.08051662893734945</x:v>
      </x:c>
      <x:c r="P24" s="72" t="n">
        <x:f>COUNTIF($O$20:$O$25,"&gt;"&amp;O24)+1</x:f>
        <x:v>5</x:v>
      </x:c>
      <x:c r="Q24" s="82" t="n">
        <x:f>MAX($G$20:$G$25)-G24</x:f>
        <x:v>6.8299036497276795</x:v>
      </x:c>
      <x:c r="R24" s="72" t="str">
        <x:f>INDEX(TrackMap!$B$8:$B$141,H24)</x:f>
        <x:v>发车大直道</x:v>
      </x:c>
    </x:row>
    <x:row r="25" ht="20" customHeight="1">
      <x:c r="A25" s="72" t="n">
        <x:v>2</x:v>
      </x:c>
      <x:c r="B25" s="72" t="n">
        <x:v>6</x:v>
      </x:c>
      <x:c r="C25" s="72" t="str">
        <x:f>INDEX(Drivers!$B$8:$B$13,B25)</x:f>
        <x:v>玫速</x:v>
      </x:c>
      <x:c r="D25" s="82" t="n">
        <x:f>G19</x:f>
        <x:v>-6.436390616752338</x:v>
      </x:c>
      <x:c r="E25" s="82" t="str">
        <x:f>IF(A25=0,"GRID",IF(D25&gt;=Control!$B$17,"FINISHED",IF(AND(A25&gt;=INDEX(Drivers!$G$8:$G$13,B25),A25&lt;INDEX(Drivers!$G$8:$G$13,B25)+INDEX(Drivers!$J$8:$J$13,B25)),"PIT",IF(MOD(A25+INDEX(Drivers!$F$8:$F$13,B25),Control!$B$11)&lt;Control!$B$13,"BOOST","RACE"))))</x:f>
        <x:v>RACE</x:v>
      </x:c>
      <x:c r="F25" s="82" t="n">
        <x:f>IF(OR(E25="GRID",E25="FINISHED",E25="PIT"),0,MAX(Control!$B$15,(INDEX(Drivers!$D$8:$D$13,B25)+INDEX(Drivers!$E$8:$E$13,B25)*SIN((A25+INDEX(Drivers!$F$8:$F$13,B25)+Control!$B$16)*Control!$B$14))*INDEX(TrackMap!$M$8:$M$141,MOD(INT(D25)-1,Control!$B$7)+1)*IF(E25="BOOST",Control!$B$12,1)))</x:f>
        <x:v>3.3586379992314255</x:v>
      </x:c>
      <x:c r="G25" s="82" t="n">
        <x:f>IF(A25=0,D25,MIN(Control!$B$17,D25+F25))</x:f>
        <x:v>-3.077752617520913</x:v>
      </x:c>
      <x:c r="H25" s="72" t="n">
        <x:f>MOD(INT(G25)-1,Control!$B$7)+1</x:f>
        <x:v>130</x:v>
      </x:c>
      <x:c r="I25" s="72" t="n">
        <x:f>MIN(Control!$B$6,MAX(1,INT(MAX(0,G25)/Control!$B$7)+1))</x:f>
        <x:v>1</x:v>
      </x:c>
      <x:c r="J25" s="72" t="n">
        <x:f>INDEX(Drivers!$H$8:$H$13,B25)</x:f>
        <x:v>2</x:v>
      </x:c>
      <x:c r="K25" s="72" t="n">
        <x:f>IF(J25=1,INDEX(TrackMap!$I$8:$I$141,H25),INDEX(TrackMap!$L$8:$L$141,H25))</x:f>
        <x:v>3021</x:v>
      </x:c>
      <x:c r="L25" s="72" t="str">
        <x:f>INDEX(TrackMap!$F$8:$F$141,H25)</x:f>
        <x:v>←</x:v>
      </x:c>
      <x:c r="M25" s="86" t="n">
        <x:f>MAX(0,G25/Control!$B$17)</x:f>
        <x:v>0</x:v>
      </x:c>
      <x:c r="N25" s="72" t="n">
        <x:f>IF(N19&gt;0,N19,IF(G25&gt;=Control!$B$17,A25,0))</x:f>
        <x:v>0</x:v>
      </x:c>
      <x:c r="O25" s="90" t="n">
        <x:f>IF(N25&gt;0,Control!$B$17+Control!$B$8+1-N25,G25)-B25/100000</x:f>
        <x:v>-3.077812617520913</x:v>
      </x:c>
      <x:c r="P25" s="72" t="n">
        <x:f>COUNTIF($O$20:$O$25,"&gt;"&amp;O25)+1</x:f>
        <x:v>6</x:v>
      </x:c>
      <x:c r="Q25" s="82" t="n">
        <x:f>MAX($G$20:$G$25)-G25</x:f>
        <x:v>9.988222896185942</x:v>
      </x:c>
      <x:c r="R25" s="72" t="str">
        <x:f>INDEX(TrackMap!$B$8:$B$141,H25)</x:f>
        <x:v>发车大直道</x:v>
      </x:c>
    </x:row>
    <x:row r="26" ht="20" customHeight="1">
      <x:c r="A26" s="72" t="n">
        <x:v>3</x:v>
      </x:c>
      <x:c r="B26" s="72" t="n">
        <x:v>1</x:v>
      </x:c>
      <x:c r="C26" s="72" t="str">
        <x:f>INDEX(Drivers!$B$8:$B$13,B26)</x:f>
        <x:v>赤焰</x:v>
      </x:c>
      <x:c r="D26" s="82" t="n">
        <x:f>G20</x:f>
        <x:v>6.910470278665029</x:v>
      </x:c>
      <x:c r="E26" s="82" t="str">
        <x:f>IF(A26=0,"GRID",IF(D26&gt;=Control!$B$17,"FINISHED",IF(AND(A26&gt;=INDEX(Drivers!$G$8:$G$13,B26),A26&lt;INDEX(Drivers!$G$8:$G$13,B26)+INDEX(Drivers!$J$8:$J$13,B26)),"PIT",IF(MOD(A26+INDEX(Drivers!$F$8:$F$13,B26),Control!$B$11)&lt;Control!$B$13,"BOOST","RACE"))))</x:f>
        <x:v>RACE</x:v>
      </x:c>
      <x:c r="F26" s="82" t="n">
        <x:f>IF(OR(E26="GRID",E26="FINISHED",E26="PIT"),0,MAX(Control!$B$15,(INDEX(Drivers!$D$8:$D$13,B26)+INDEX(Drivers!$E$8:$E$13,B26)*SIN((A26+INDEX(Drivers!$F$8:$F$13,B26)+Control!$B$16)*Control!$B$14))*INDEX(TrackMap!$M$8:$M$141,MOD(INT(D26)-1,Control!$B$7)+1)*IF(E26="BOOST",Control!$B$12,1)))</x:f>
        <x:v>3.6537480520411236</x:v>
      </x:c>
      <x:c r="G26" s="82" t="n">
        <x:f>IF(A26=0,D26,MIN(Control!$B$17,D26+F26))</x:f>
        <x:v>10.564218330706153</x:v>
      </x:c>
      <x:c r="H26" s="72" t="n">
        <x:f>MOD(INT(G26)-1,Control!$B$7)+1</x:f>
        <x:v>10</x:v>
      </x:c>
      <x:c r="I26" s="72" t="n">
        <x:f>MIN(Control!$B$6,MAX(1,INT(MAX(0,G26)/Control!$B$7)+1))</x:f>
        <x:v>1</x:v>
      </x:c>
      <x:c r="J26" s="72" t="n">
        <x:f>INDEX(Drivers!$H$8:$H$13,B26)</x:f>
        <x:v>1</x:v>
      </x:c>
      <x:c r="K26" s="72" t="n">
        <x:f>IF(J26=1,INDEX(TrackMap!$I$8:$I$141,H26),INDEX(TrackMap!$L$8:$L$141,H26))</x:f>
        <x:v>3107</x:v>
      </x:c>
      <x:c r="L26" s="72" t="str">
        <x:f>INDEX(TrackMap!$F$8:$F$141,H26)</x:f>
        <x:v>←</x:v>
      </x:c>
      <x:c r="M26" s="86" t="n">
        <x:f>MAX(0,G26/Control!$B$17)</x:f>
        <x:v>0.015767490045830078</x:v>
      </x:c>
      <x:c r="N26" s="72" t="n">
        <x:f>IF(N20&gt;0,N20,IF(G26&gt;=Control!$B$17,A26,0))</x:f>
        <x:v>0</x:v>
      </x:c>
      <x:c r="O26" s="90" t="n">
        <x:f>IF(N26&gt;0,Control!$B$17+Control!$B$8+1-N26,G26)-B26/100000</x:f>
        <x:v>10.564208330706153</x:v>
      </x:c>
      <x:c r="P26" s="72" t="n">
        <x:f>COUNTIF($O$26:$O$31,"&gt;"&amp;O26)+1</x:f>
        <x:v>1</x:v>
      </x:c>
      <x:c r="Q26" s="82" t="n">
        <x:f>MAX($G$26:$G$31)-G26</x:f>
        <x:v>0</x:v>
      </x:c>
      <x:c r="R26" s="72" t="str">
        <x:f>INDEX(TrackMap!$B$8:$B$141,H26)</x:f>
        <x:v>发车大直道</x:v>
      </x:c>
    </x:row>
    <x:row r="27" ht="20" customHeight="1">
      <x:c r="A27" s="72" t="n">
        <x:v>3</x:v>
      </x:c>
      <x:c r="B27" s="72" t="n">
        <x:v>2</x:v>
      </x:c>
      <x:c r="C27" s="72" t="str">
        <x:f>INDEX(Drivers!$B$8:$B$13,B27)</x:f>
        <x:v>蓝电</x:v>
      </x:c>
      <x:c r="D27" s="82" t="n">
        <x:f>G21</x:f>
        <x:v>6.211081202280836</x:v>
      </x:c>
      <x:c r="E27" s="82" t="str">
        <x:f>IF(A27=0,"GRID",IF(D27&gt;=Control!$B$17,"FINISHED",IF(AND(A27&gt;=INDEX(Drivers!$G$8:$G$13,B27),A27&lt;INDEX(Drivers!$G$8:$G$13,B27)+INDEX(Drivers!$J$8:$J$13,B27)),"PIT",IF(MOD(A27+INDEX(Drivers!$F$8:$F$13,B27),Control!$B$11)&lt;Control!$B$13,"BOOST","RACE"))))</x:f>
        <x:v>RACE</x:v>
      </x:c>
      <x:c r="F27" s="82" t="n">
        <x:f>IF(OR(E27="GRID",E27="FINISHED",E27="PIT"),0,MAX(Control!$B$15,(INDEX(Drivers!$D$8:$D$13,B27)+INDEX(Drivers!$E$8:$E$13,B27)*SIN((A27+INDEX(Drivers!$F$8:$F$13,B27)+Control!$B$16)*Control!$B$14))*INDEX(TrackMap!$M$8:$M$141,MOD(INT(D27)-1,Control!$B$7)+1)*IF(E27="BOOST",Control!$B$12,1)))</x:f>
        <x:v>3.890936923552586</x:v>
      </x:c>
      <x:c r="G27" s="82" t="n">
        <x:f>IF(A27=0,D27,MIN(Control!$B$17,D27+F27))</x:f>
        <x:v>10.102018125833421</x:v>
      </x:c>
      <x:c r="H27" s="72" t="n">
        <x:f>MOD(INT(G27)-1,Control!$B$7)+1</x:f>
        <x:v>10</x:v>
      </x:c>
      <x:c r="I27" s="72" t="n">
        <x:f>MIN(Control!$B$6,MAX(1,INT(MAX(0,G27)/Control!$B$7)+1))</x:f>
        <x:v>1</x:v>
      </x:c>
      <x:c r="J27" s="72" t="n">
        <x:f>INDEX(Drivers!$H$8:$H$13,B27)</x:f>
        <x:v>2</x:v>
      </x:c>
      <x:c r="K27" s="72" t="n">
        <x:f>IF(J27=1,INDEX(TrackMap!$I$8:$I$141,H27),INDEX(TrackMap!$L$8:$L$141,H27))</x:f>
        <x:v>3007</x:v>
      </x:c>
      <x:c r="L27" s="72" t="str">
        <x:f>INDEX(TrackMap!$F$8:$F$141,H27)</x:f>
        <x:v>←</x:v>
      </x:c>
      <x:c r="M27" s="86" t="n">
        <x:f>MAX(0,G27/Control!$B$17)</x:f>
        <x:v>0.015077638993781225</x:v>
      </x:c>
      <x:c r="N27" s="72" t="n">
        <x:f>IF(N21&gt;0,N21,IF(G27&gt;=Control!$B$17,A27,0))</x:f>
        <x:v>0</x:v>
      </x:c>
      <x:c r="O27" s="90" t="n">
        <x:f>IF(N27&gt;0,Control!$B$17+Control!$B$8+1-N27,G27)-B27/100000</x:f>
        <x:v>10.101998125833422</x:v>
      </x:c>
      <x:c r="P27" s="72" t="n">
        <x:f>COUNTIF($O$26:$O$31,"&gt;"&amp;O27)+1</x:f>
        <x:v>2</x:v>
      </x:c>
      <x:c r="Q27" s="82" t="n">
        <x:f>MAX($G$26:$G$31)-G27</x:f>
        <x:v>0.4622002048727314</x:v>
      </x:c>
      <x:c r="R27" s="72" t="str">
        <x:f>INDEX(TrackMap!$B$8:$B$141,H27)</x:f>
        <x:v>发车大直道</x:v>
      </x:c>
    </x:row>
    <x:row r="28" ht="20" customHeight="1">
      <x:c r="A28" s="72" t="n">
        <x:v>3</x:v>
      </x:c>
      <x:c r="B28" s="72" t="n">
        <x:v>3</x:v>
      </x:c>
      <x:c r="C28" s="72" t="str">
        <x:f>INDEX(Drivers!$B$8:$B$13,B28)</x:f>
        <x:v>金翼</x:v>
      </x:c>
      <x:c r="D28" s="82" t="n">
        <x:f>G22</x:f>
        <x:v>1.715653525346851</x:v>
      </x:c>
      <x:c r="E28" s="82" t="str">
        <x:f>IF(A28=0,"GRID",IF(D28&gt;=Control!$B$17,"FINISHED",IF(AND(A28&gt;=INDEX(Drivers!$G$8:$G$13,B28),A28&lt;INDEX(Drivers!$G$8:$G$13,B28)+INDEX(Drivers!$J$8:$J$13,B28)),"PIT",IF(MOD(A28+INDEX(Drivers!$F$8:$F$13,B28),Control!$B$11)&lt;Control!$B$13,"BOOST","RACE"))))</x:f>
        <x:v>RACE</x:v>
      </x:c>
      <x:c r="F28" s="82" t="n">
        <x:f>IF(OR(E28="GRID",E28="FINISHED",E28="PIT"),0,MAX(Control!$B$15,(INDEX(Drivers!$D$8:$D$13,B28)+INDEX(Drivers!$E$8:$E$13,B28)*SIN((A28+INDEX(Drivers!$F$8:$F$13,B28)+Control!$B$16)*Control!$B$14))*INDEX(TrackMap!$M$8:$M$141,MOD(INT(D28)-1,Control!$B$7)+1)*IF(E28="BOOST",Control!$B$12,1)))</x:f>
        <x:v>2.5390734646896505</x:v>
      </x:c>
      <x:c r="G28" s="82" t="n">
        <x:f>IF(A28=0,D28,MIN(Control!$B$17,D28+F28))</x:f>
        <x:v>4.2547269900365015</x:v>
      </x:c>
      <x:c r="H28" s="72" t="n">
        <x:f>MOD(INT(G28)-1,Control!$B$7)+1</x:f>
        <x:v>4</x:v>
      </x:c>
      <x:c r="I28" s="72" t="n">
        <x:f>MIN(Control!$B$6,MAX(1,INT(MAX(0,G28)/Control!$B$7)+1))</x:f>
        <x:v>1</x:v>
      </x:c>
      <x:c r="J28" s="72" t="n">
        <x:f>INDEX(Drivers!$H$8:$H$13,B28)</x:f>
        <x:v>1</x:v>
      </x:c>
      <x:c r="K28" s="72" t="n">
        <x:f>IF(J28=1,INDEX(TrackMap!$I$8:$I$141,H28),INDEX(TrackMap!$L$8:$L$141,H28))</x:f>
        <x:v>3113</x:v>
      </x:c>
      <x:c r="L28" s="72" t="str">
        <x:f>INDEX(TrackMap!$F$8:$F$141,H28)</x:f>
        <x:v>←</x:v>
      </x:c>
      <x:c r="M28" s="86" t="n">
        <x:f>MAX(0,G28/Control!$B$17)</x:f>
        <x:v>0.006350338791099256</x:v>
      </x:c>
      <x:c r="N28" s="72" t="n">
        <x:f>IF(N22&gt;0,N22,IF(G28&gt;=Control!$B$17,A28,0))</x:f>
        <x:v>0</x:v>
      </x:c>
      <x:c r="O28" s="90" t="n">
        <x:f>IF(N28&gt;0,Control!$B$17+Control!$B$8+1-N28,G28)-B28/100000</x:f>
        <x:v>4.254696990036502</x:v>
      </x:c>
      <x:c r="P28" s="72" t="n">
        <x:f>COUNTIF($O$26:$O$31,"&gt;"&amp;O28)+1</x:f>
        <x:v>4</x:v>
      </x:c>
      <x:c r="Q28" s="82" t="n">
        <x:f>MAX($G$26:$G$31)-G28</x:f>
        <x:v>6.309491340669651</x:v>
      </x:c>
      <x:c r="R28" s="72" t="str">
        <x:f>INDEX(TrackMap!$B$8:$B$141,H28)</x:f>
        <x:v>发车大直道</x:v>
      </x:c>
    </x:row>
    <x:row r="29" ht="20" customHeight="1">
      <x:c r="A29" s="72" t="n">
        <x:v>3</x:v>
      </x:c>
      <x:c r="B29" s="72" t="n">
        <x:v>4</x:v>
      </x:c>
      <x:c r="C29" s="72" t="str">
        <x:f>INDEX(Drivers!$B$8:$B$13,B29)</x:f>
        <x:v>紫影</x:v>
      </x:c>
      <x:c r="D29" s="82" t="n">
        <x:f>G23</x:f>
        <x:v>2.1198600572312465</x:v>
      </x:c>
      <x:c r="E29" s="82" t="str">
        <x:f>IF(A29=0,"GRID",IF(D29&gt;=Control!$B$17,"FINISHED",IF(AND(A29&gt;=INDEX(Drivers!$G$8:$G$13,B29),A29&lt;INDEX(Drivers!$G$8:$G$13,B29)+INDEX(Drivers!$J$8:$J$13,B29)),"PIT",IF(MOD(A29+INDEX(Drivers!$F$8:$F$13,B29),Control!$B$11)&lt;Control!$B$13,"BOOST","RACE"))))</x:f>
        <x:v>RACE</x:v>
      </x:c>
      <x:c r="F29" s="82" t="n">
        <x:f>IF(OR(E29="GRID",E29="FINISHED",E29="PIT"),0,MAX(Control!$B$15,(INDEX(Drivers!$D$8:$D$13,B29)+INDEX(Drivers!$E$8:$E$13,B29)*SIN((A29+INDEX(Drivers!$F$8:$F$13,B29)+Control!$B$16)*Control!$B$14))*INDEX(TrackMap!$M$8:$M$141,MOD(INT(D29)-1,Control!$B$7)+1)*IF(E29="BOOST",Control!$B$12,1)))</x:f>
        <x:v>4.17827398307906</x:v>
      </x:c>
      <x:c r="G29" s="82" t="n">
        <x:f>IF(A29=0,D29,MIN(Control!$B$17,D29+F29))</x:f>
        <x:v>6.298134040310306</x:v>
      </x:c>
      <x:c r="H29" s="72" t="n">
        <x:f>MOD(INT(G29)-1,Control!$B$7)+1</x:f>
        <x:v>6</x:v>
      </x:c>
      <x:c r="I29" s="72" t="n">
        <x:f>MIN(Control!$B$6,MAX(1,INT(MAX(0,G29)/Control!$B$7)+1))</x:f>
        <x:v>1</x:v>
      </x:c>
      <x:c r="J29" s="72" t="n">
        <x:f>INDEX(Drivers!$H$8:$H$13,B29)</x:f>
        <x:v>2</x:v>
      </x:c>
      <x:c r="K29" s="72" t="n">
        <x:f>IF(J29=1,INDEX(TrackMap!$I$8:$I$141,H29),INDEX(TrackMap!$L$8:$L$141,H29))</x:f>
        <x:v>3011</x:v>
      </x:c>
      <x:c r="L29" s="72" t="str">
        <x:f>INDEX(TrackMap!$F$8:$F$141,H29)</x:f>
        <x:v>←</x:v>
      </x:c>
      <x:c r="M29" s="86" t="n">
        <x:f>MAX(0,G29/Control!$B$17)</x:f>
        <x:v>0.009400200060164636</x:v>
      </x:c>
      <x:c r="N29" s="72" t="n">
        <x:f>IF(N23&gt;0,N23,IF(G29&gt;=Control!$B$17,A29,0))</x:f>
        <x:v>0</x:v>
      </x:c>
      <x:c r="O29" s="90" t="n">
        <x:f>IF(N29&gt;0,Control!$B$17+Control!$B$8+1-N29,G29)-B29/100000</x:f>
        <x:v>6.298094040310306</x:v>
      </x:c>
      <x:c r="P29" s="72" t="n">
        <x:f>COUNTIF($O$26:$O$31,"&gt;"&amp;O29)+1</x:f>
        <x:v>3</x:v>
      </x:c>
      <x:c r="Q29" s="82" t="n">
        <x:f>MAX($G$26:$G$31)-G29</x:f>
        <x:v>4.266084290395846</x:v>
      </x:c>
      <x:c r="R29" s="72" t="str">
        <x:f>INDEX(TrackMap!$B$8:$B$141,H29)</x:f>
        <x:v>发车大直道</x:v>
      </x:c>
    </x:row>
    <x:row r="30" ht="20" customHeight="1">
      <x:c r="A30" s="72" t="n">
        <x:v>3</x:v>
      </x:c>
      <x:c r="B30" s="72" t="n">
        <x:v>5</x:v>
      </x:c>
      <x:c r="C30" s="72" t="str">
        <x:f>INDEX(Drivers!$B$8:$B$13,B30)</x:f>
        <x:v>青锋</x:v>
      </x:c>
      <x:c r="D30" s="82" t="n">
        <x:f>G24</x:f>
        <x:v>0.08056662893734945</x:v>
      </x:c>
      <x:c r="E30" s="82" t="str">
        <x:f>IF(A30=0,"GRID",IF(D30&gt;=Control!$B$17,"FINISHED",IF(AND(A30&gt;=INDEX(Drivers!$G$8:$G$13,B30),A30&lt;INDEX(Drivers!$G$8:$G$13,B30)+INDEX(Drivers!$J$8:$J$13,B30)),"PIT",IF(MOD(A30+INDEX(Drivers!$F$8:$F$13,B30),Control!$B$11)&lt;Control!$B$13,"BOOST","RACE"))))</x:f>
        <x:v>RACE</x:v>
      </x:c>
      <x:c r="F30" s="82" t="n">
        <x:f>IF(OR(E30="GRID",E30="FINISHED",E30="PIT"),0,MAX(Control!$B$15,(INDEX(Drivers!$D$8:$D$13,B30)+INDEX(Drivers!$E$8:$E$13,B30)*SIN((A30+INDEX(Drivers!$F$8:$F$13,B30)+Control!$B$16)*Control!$B$14))*INDEX(TrackMap!$M$8:$M$141,MOD(INT(D30)-1,Control!$B$7)+1)*IF(E30="BOOST",Control!$B$12,1)))</x:f>
        <x:v>3.2355705093387876</x:v>
      </x:c>
      <x:c r="G30" s="82" t="n">
        <x:f>IF(A30=0,D30,MIN(Control!$B$17,D30+F30))</x:f>
        <x:v>3.316137138276137</x:v>
      </x:c>
      <x:c r="H30" s="72" t="n">
        <x:f>MOD(INT(G30)-1,Control!$B$7)+1</x:f>
        <x:v>3</x:v>
      </x:c>
      <x:c r="I30" s="72" t="n">
        <x:f>MIN(Control!$B$6,MAX(1,INT(MAX(0,G30)/Control!$B$7)+1))</x:f>
        <x:v>1</x:v>
      </x:c>
      <x:c r="J30" s="72" t="n">
        <x:f>INDEX(Drivers!$H$8:$H$13,B30)</x:f>
        <x:v>1</x:v>
      </x:c>
      <x:c r="K30" s="72" t="n">
        <x:f>IF(J30=1,INDEX(TrackMap!$I$8:$I$141,H30),INDEX(TrackMap!$L$8:$L$141,H30))</x:f>
        <x:v>3114</x:v>
      </x:c>
      <x:c r="L30" s="72" t="str">
        <x:f>INDEX(TrackMap!$F$8:$F$141,H30)</x:f>
        <x:v>←</x:v>
      </x:c>
      <x:c r="M30" s="86" t="n">
        <x:f>MAX(0,G30/Control!$B$17)</x:f>
        <x:v>0.004949458415337518</x:v>
      </x:c>
      <x:c r="N30" s="72" t="n">
        <x:f>IF(N24&gt;0,N24,IF(G30&gt;=Control!$B$17,A30,0))</x:f>
        <x:v>0</x:v>
      </x:c>
      <x:c r="O30" s="90" t="n">
        <x:f>IF(N30&gt;0,Control!$B$17+Control!$B$8+1-N30,G30)-B30/100000</x:f>
        <x:v>3.316087138276137</x:v>
      </x:c>
      <x:c r="P30" s="72" t="n">
        <x:f>COUNTIF($O$26:$O$31,"&gt;"&amp;O30)+1</x:f>
        <x:v>5</x:v>
      </x:c>
      <x:c r="Q30" s="82" t="n">
        <x:f>MAX($G$26:$G$31)-G30</x:f>
        <x:v>7.248081192430016</x:v>
      </x:c>
      <x:c r="R30" s="72" t="str">
        <x:f>INDEX(TrackMap!$B$8:$B$141,H30)</x:f>
        <x:v>发车大直道</x:v>
      </x:c>
    </x:row>
    <x:row r="31" ht="20" customHeight="1">
      <x:c r="A31" s="72" t="n">
        <x:v>3</x:v>
      </x:c>
      <x:c r="B31" s="72" t="n">
        <x:v>6</x:v>
      </x:c>
      <x:c r="C31" s="72" t="str">
        <x:f>INDEX(Drivers!$B$8:$B$13,B31)</x:f>
        <x:v>玫速</x:v>
      </x:c>
      <x:c r="D31" s="82" t="n">
        <x:f>G25</x:f>
        <x:v>-3.077752617520913</x:v>
      </x:c>
      <x:c r="E31" s="82" t="str">
        <x:f>IF(A31=0,"GRID",IF(D31&gt;=Control!$B$17,"FINISHED",IF(AND(A31&gt;=INDEX(Drivers!$G$8:$G$13,B31),A31&lt;INDEX(Drivers!$G$8:$G$13,B31)+INDEX(Drivers!$J$8:$J$13,B31)),"PIT",IF(MOD(A31+INDEX(Drivers!$F$8:$F$13,B31),Control!$B$11)&lt;Control!$B$13,"BOOST","RACE"))))</x:f>
        <x:v>RACE</x:v>
      </x:c>
      <x:c r="F31" s="82" t="n">
        <x:f>IF(OR(E31="GRID",E31="FINISHED",E31="PIT"),0,MAX(Control!$B$15,(INDEX(Drivers!$D$8:$D$13,B31)+INDEX(Drivers!$E$8:$E$13,B31)*SIN((A31+INDEX(Drivers!$F$8:$F$13,B31)+Control!$B$16)*Control!$B$14))*INDEX(TrackMap!$M$8:$M$141,MOD(INT(D31)-1,Control!$B$7)+1)*IF(E31="BOOST",Control!$B$12,1)))</x:f>
        <x:v>3.19716145444192</x:v>
      </x:c>
      <x:c r="G31" s="82" t="n">
        <x:f>IF(A31=0,D31,MIN(Control!$B$17,D31+F31))</x:f>
        <x:v>0.11940883692100712</x:v>
      </x:c>
      <x:c r="H31" s="72" t="n">
        <x:f>MOD(INT(G31)-1,Control!$B$7)+1</x:f>
        <x:v>134</x:v>
      </x:c>
      <x:c r="I31" s="72" t="n">
        <x:f>MIN(Control!$B$6,MAX(1,INT(MAX(0,G31)/Control!$B$7)+1))</x:f>
        <x:v>1</x:v>
      </x:c>
      <x:c r="J31" s="72" t="n">
        <x:f>INDEX(Drivers!$H$8:$H$13,B31)</x:f>
        <x:v>2</x:v>
      </x:c>
      <x:c r="K31" s="72" t="n">
        <x:f>IF(J31=1,INDEX(TrackMap!$I$8:$I$141,H31),INDEX(TrackMap!$L$8:$L$141,H31))</x:f>
        <x:v>3017</x:v>
      </x:c>
      <x:c r="L31" s="72" t="str">
        <x:f>INDEX(TrackMap!$F$8:$F$141,H31)</x:f>
        <x:v>←</x:v>
      </x:c>
      <x:c r="M31" s="86" t="n">
        <x:f>MAX(0,G31/Control!$B$17)</x:f>
        <x:v>0.00017822214465821958</x:v>
      </x:c>
      <x:c r="N31" s="72" t="n">
        <x:f>IF(N25&gt;0,N25,IF(G31&gt;=Control!$B$17,A31,0))</x:f>
        <x:v>0</x:v>
      </x:c>
      <x:c r="O31" s="90" t="n">
        <x:f>IF(N31&gt;0,Control!$B$17+Control!$B$8+1-N31,G31)-B31/100000</x:f>
        <x:v>0.11934883692100712</x:v>
      </x:c>
      <x:c r="P31" s="72" t="n">
        <x:f>COUNTIF($O$26:$O$31,"&gt;"&amp;O31)+1</x:f>
        <x:v>6</x:v>
      </x:c>
      <x:c r="Q31" s="82" t="n">
        <x:f>MAX($G$26:$G$31)-G31</x:f>
        <x:v>10.444809493785145</x:v>
      </x:c>
      <x:c r="R31" s="72" t="str">
        <x:f>INDEX(TrackMap!$B$8:$B$141,H31)</x:f>
        <x:v>发车大直道</x:v>
      </x:c>
    </x:row>
    <x:row r="32" ht="20" customHeight="1">
      <x:c r="A32" s="72" t="n">
        <x:v>4</x:v>
      </x:c>
      <x:c r="B32" s="72" t="n">
        <x:v>1</x:v>
      </x:c>
      <x:c r="C32" s="72" t="str">
        <x:f>INDEX(Drivers!$B$8:$B$13,B32)</x:f>
        <x:v>赤焰</x:v>
      </x:c>
      <x:c r="D32" s="82" t="n">
        <x:f>G26</x:f>
        <x:v>10.564218330706153</x:v>
      </x:c>
      <x:c r="E32" s="82" t="str">
        <x:f>IF(A32=0,"GRID",IF(D32&gt;=Control!$B$17,"FINISHED",IF(AND(A32&gt;=INDEX(Drivers!$G$8:$G$13,B32),A32&lt;INDEX(Drivers!$G$8:$G$13,B32)+INDEX(Drivers!$J$8:$J$13,B32)),"PIT",IF(MOD(A32+INDEX(Drivers!$F$8:$F$13,B32),Control!$B$11)&lt;Control!$B$13,"BOOST","RACE"))))</x:f>
        <x:v>RACE</x:v>
      </x:c>
      <x:c r="F32" s="82" t="n">
        <x:f>IF(OR(E32="GRID",E32="FINISHED",E32="PIT"),0,MAX(Control!$B$15,(INDEX(Drivers!$D$8:$D$13,B32)+INDEX(Drivers!$E$8:$E$13,B32)*SIN((A32+INDEX(Drivers!$F$8:$F$13,B32)+Control!$B$16)*Control!$B$14))*INDEX(TrackMap!$M$8:$M$141,MOD(INT(D32)-1,Control!$B$7)+1)*IF(E32="BOOST",Control!$B$12,1)))</x:f>
        <x:v>3.8523782808148113</x:v>
      </x:c>
      <x:c r="G32" s="82" t="n">
        <x:f>IF(A32=0,D32,MIN(Control!$B$17,D32+F32))</x:f>
        <x:v>14.416596611520964</x:v>
      </x:c>
      <x:c r="H32" s="72" t="n">
        <x:f>MOD(INT(G32)-1,Control!$B$7)+1</x:f>
        <x:v>14</x:v>
      </x:c>
      <x:c r="I32" s="72" t="n">
        <x:f>MIN(Control!$B$6,MAX(1,INT(MAX(0,G32)/Control!$B$7)+1))</x:f>
        <x:v>1</x:v>
      </x:c>
      <x:c r="J32" s="72" t="n">
        <x:f>INDEX(Drivers!$H$8:$H$13,B32)</x:f>
        <x:v>1</x:v>
      </x:c>
      <x:c r="K32" s="72" t="n">
        <x:f>IF(J32=1,INDEX(TrackMap!$I$8:$I$141,H32),INDEX(TrackMap!$L$8:$L$141,H32))</x:f>
        <x:v>2803</x:v>
      </x:c>
      <x:c r="L32" s="72" t="str">
        <x:f>INDEX(TrackMap!$F$8:$F$141,H32)</x:f>
        <x:v>↑</x:v>
      </x:c>
      <x:c r="M32" s="86" t="n">
        <x:f>MAX(0,G32/Control!$B$17)</x:f>
        <x:v>0.021517308375404425</x:v>
      </x:c>
      <x:c r="N32" s="72" t="n">
        <x:f>IF(N26&gt;0,N26,IF(G32&gt;=Control!$B$17,A32,0))</x:f>
        <x:v>0</x:v>
      </x:c>
      <x:c r="O32" s="90" t="n">
        <x:f>IF(N32&gt;0,Control!$B$17+Control!$B$8+1-N32,G32)-B32/100000</x:f>
        <x:v>14.416586611520964</x:v>
      </x:c>
      <x:c r="P32" s="72" t="n">
        <x:f>COUNTIF($O$32:$O$37,"&gt;"&amp;O32)+1</x:f>
        <x:v>1</x:v>
      </x:c>
      <x:c r="Q32" s="82" t="n">
        <x:f>MAX($G$32:$G$37)-G32</x:f>
        <x:v>0</x:v>
      </x:c>
      <x:c r="R32" s="72" t="str">
        <x:f>INDEX(TrackMap!$B$8:$B$141,H32)</x:f>
        <x:v>西侧回弯</x:v>
      </x:c>
    </x:row>
    <x:row r="33" ht="20" customHeight="1">
      <x:c r="A33" s="72" t="n">
        <x:v>4</x:v>
      </x:c>
      <x:c r="B33" s="72" t="n">
        <x:v>2</x:v>
      </x:c>
      <x:c r="C33" s="72" t="str">
        <x:f>INDEX(Drivers!$B$8:$B$13,B33)</x:f>
        <x:v>蓝电</x:v>
      </x:c>
      <x:c r="D33" s="82" t="n">
        <x:f>G27</x:f>
        <x:v>10.102018125833421</x:v>
      </x:c>
      <x:c r="E33" s="82" t="str">
        <x:f>IF(A33=0,"GRID",IF(D33&gt;=Control!$B$17,"FINISHED",IF(AND(A33&gt;=INDEX(Drivers!$G$8:$G$13,B33),A33&lt;INDEX(Drivers!$G$8:$G$13,B33)+INDEX(Drivers!$J$8:$J$13,B33)),"PIT",IF(MOD(A33+INDEX(Drivers!$F$8:$F$13,B33),Control!$B$11)&lt;Control!$B$13,"BOOST","RACE"))))</x:f>
        <x:v>RACE</x:v>
      </x:c>
      <x:c r="F33" s="82" t="n">
        <x:f>IF(OR(E33="GRID",E33="FINISHED",E33="PIT"),0,MAX(Control!$B$15,(INDEX(Drivers!$D$8:$D$13,B33)+INDEX(Drivers!$E$8:$E$13,B33)*SIN((A33+INDEX(Drivers!$F$8:$F$13,B33)+Control!$B$16)*Control!$B$14))*INDEX(TrackMap!$M$8:$M$141,MOD(INT(D33)-1,Control!$B$7)+1)*IF(E33="BOOST",Control!$B$12,1)))</x:f>
        <x:v>3.68433369122826</x:v>
      </x:c>
      <x:c r="G33" s="82" t="n">
        <x:f>IF(A33=0,D33,MIN(Control!$B$17,D33+F33))</x:f>
        <x:v>13.786351817061682</x:v>
      </x:c>
      <x:c r="H33" s="72" t="n">
        <x:f>MOD(INT(G33)-1,Control!$B$7)+1</x:f>
        <x:v>13</x:v>
      </x:c>
      <x:c r="I33" s="72" t="n">
        <x:f>MIN(Control!$B$6,MAX(1,INT(MAX(0,G33)/Control!$B$7)+1))</x:f>
        <x:v>1</x:v>
      </x:c>
      <x:c r="J33" s="72" t="n">
        <x:f>INDEX(Drivers!$H$8:$H$13,B33)</x:f>
        <x:v>2</x:v>
      </x:c>
      <x:c r="K33" s="72" t="n">
        <x:f>IF(J33=1,INDEX(TrackMap!$I$8:$I$141,H33),INDEX(TrackMap!$L$8:$L$141,H33))</x:f>
        <x:v>2904</x:v>
      </x:c>
      <x:c r="L33" s="72" t="str">
        <x:f>INDEX(TrackMap!$F$8:$F$141,H33)</x:f>
        <x:v>↑</x:v>
      </x:c>
      <x:c r="M33" s="86" t="n">
        <x:f>MAX(0,G33/Control!$B$17)</x:f>
        <x:v>0.020576644503077137</x:v>
      </x:c>
      <x:c r="N33" s="72" t="n">
        <x:f>IF(N27&gt;0,N27,IF(G33&gt;=Control!$B$17,A33,0))</x:f>
        <x:v>0</x:v>
      </x:c>
      <x:c r="O33" s="90" t="n">
        <x:f>IF(N33&gt;0,Control!$B$17+Control!$B$8+1-N33,G33)-B33/100000</x:f>
        <x:v>13.786331817061683</x:v>
      </x:c>
      <x:c r="P33" s="72" t="n">
        <x:f>COUNTIF($O$32:$O$37,"&gt;"&amp;O33)+1</x:f>
        <x:v>2</x:v>
      </x:c>
      <x:c r="Q33" s="82" t="n">
        <x:f>MAX($G$32:$G$37)-G33</x:f>
        <x:v>0.6302447944592817</x:v>
      </x:c>
      <x:c r="R33" s="72" t="str">
        <x:f>INDEX(TrackMap!$B$8:$B$141,H33)</x:f>
        <x:v>西侧回弯</x:v>
      </x:c>
    </x:row>
    <x:row r="34" ht="20" customHeight="1">
      <x:c r="A34" s="72" t="n">
        <x:v>4</x:v>
      </x:c>
      <x:c r="B34" s="72" t="n">
        <x:v>3</x:v>
      </x:c>
      <x:c r="C34" s="72" t="str">
        <x:f>INDEX(Drivers!$B$8:$B$13,B34)</x:f>
        <x:v>金翼</x:v>
      </x:c>
      <x:c r="D34" s="82" t="n">
        <x:f>G28</x:f>
        <x:v>4.2547269900365015</x:v>
      </x:c>
      <x:c r="E34" s="82" t="str">
        <x:f>IF(A34=0,"GRID",IF(D34&gt;=Control!$B$17,"FINISHED",IF(AND(A34&gt;=INDEX(Drivers!$G$8:$G$13,B34),A34&lt;INDEX(Drivers!$G$8:$G$13,B34)+INDEX(Drivers!$J$8:$J$13,B34)),"PIT",IF(MOD(A34+INDEX(Drivers!$F$8:$F$13,B34),Control!$B$11)&lt;Control!$B$13,"BOOST","RACE"))))</x:f>
        <x:v>RACE</x:v>
      </x:c>
      <x:c r="F34" s="82" t="n">
        <x:f>IF(OR(E34="GRID",E34="FINISHED",E34="PIT"),0,MAX(Control!$B$15,(INDEX(Drivers!$D$8:$D$13,B34)+INDEX(Drivers!$E$8:$E$13,B34)*SIN((A34+INDEX(Drivers!$F$8:$F$13,B34)+Control!$B$16)*Control!$B$14))*INDEX(TrackMap!$M$8:$M$141,MOD(INT(D34)-1,Control!$B$7)+1)*IF(E34="BOOST",Control!$B$12,1)))</x:f>
        <x:v>3.3679196382399526</x:v>
      </x:c>
      <x:c r="G34" s="82" t="n">
        <x:f>IF(A34=0,D34,MIN(Control!$B$17,D34+F34))</x:f>
        <x:v>7.6226466282764545</x:v>
      </x:c>
      <x:c r="H34" s="72" t="n">
        <x:f>MOD(INT(G34)-1,Control!$B$7)+1</x:f>
        <x:v>7</x:v>
      </x:c>
      <x:c r="I34" s="72" t="n">
        <x:f>MIN(Control!$B$6,MAX(1,INT(MAX(0,G34)/Control!$B$7)+1))</x:f>
        <x:v>1</x:v>
      </x:c>
      <x:c r="J34" s="72" t="n">
        <x:f>INDEX(Drivers!$H$8:$H$13,B34)</x:f>
        <x:v>1</x:v>
      </x:c>
      <x:c r="K34" s="72" t="n">
        <x:f>IF(J34=1,INDEX(TrackMap!$I$8:$I$141,H34),INDEX(TrackMap!$L$8:$L$141,H34))</x:f>
        <x:v>3110</x:v>
      </x:c>
      <x:c r="L34" s="72" t="str">
        <x:f>INDEX(TrackMap!$F$8:$F$141,H34)</x:f>
        <x:v>←</x:v>
      </x:c>
      <x:c r="M34" s="86" t="n">
        <x:f>MAX(0,G34/Control!$B$17)</x:f>
        <x:v>0.011377084519815603</x:v>
      </x:c>
      <x:c r="N34" s="72" t="n">
        <x:f>IF(N28&gt;0,N28,IF(G34&gt;=Control!$B$17,A34,0))</x:f>
        <x:v>0</x:v>
      </x:c>
      <x:c r="O34" s="90" t="n">
        <x:f>IF(N34&gt;0,Control!$B$17+Control!$B$8+1-N34,G34)-B34/100000</x:f>
        <x:v>7.622616628276455</x:v>
      </x:c>
      <x:c r="P34" s="72" t="n">
        <x:f>COUNTIF($O$32:$O$37,"&gt;"&amp;O34)+1</x:f>
        <x:v>4</x:v>
      </x:c>
      <x:c r="Q34" s="82" t="n">
        <x:f>MAX($G$32:$G$37)-G34</x:f>
        <x:v>6.793949983244509</x:v>
      </x:c>
      <x:c r="R34" s="72" t="str">
        <x:f>INDEX(TrackMap!$B$8:$B$141,H34)</x:f>
        <x:v>发车大直道</x:v>
      </x:c>
    </x:row>
    <x:row r="35" ht="20" customHeight="1">
      <x:c r="A35" s="72" t="n">
        <x:v>4</x:v>
      </x:c>
      <x:c r="B35" s="72" t="n">
        <x:v>4</x:v>
      </x:c>
      <x:c r="C35" s="72" t="str">
        <x:f>INDEX(Drivers!$B$8:$B$13,B35)</x:f>
        <x:v>紫影</x:v>
      </x:c>
      <x:c r="D35" s="82" t="n">
        <x:f>G29</x:f>
        <x:v>6.298134040310306</x:v>
      </x:c>
      <x:c r="E35" s="82" t="str">
        <x:f>IF(A35=0,"GRID",IF(D35&gt;=Control!$B$17,"FINISHED",IF(AND(A35&gt;=INDEX(Drivers!$G$8:$G$13,B35),A35&lt;INDEX(Drivers!$G$8:$G$13,B35)+INDEX(Drivers!$J$8:$J$13,B35)),"PIT",IF(MOD(A35+INDEX(Drivers!$F$8:$F$13,B35),Control!$B$11)&lt;Control!$B$13,"BOOST","RACE"))))</x:f>
        <x:v>RACE</x:v>
      </x:c>
      <x:c r="F35" s="82" t="n">
        <x:f>IF(OR(E35="GRID",E35="FINISHED",E35="PIT"),0,MAX(Control!$B$15,(INDEX(Drivers!$D$8:$D$13,B35)+INDEX(Drivers!$E$8:$E$13,B35)*SIN((A35+INDEX(Drivers!$F$8:$F$13,B35)+Control!$B$16)*Control!$B$14))*INDEX(TrackMap!$M$8:$M$141,MOD(INT(D35)-1,Control!$B$7)+1)*IF(E35="BOOST",Control!$B$12,1)))</x:f>
        <x:v>4.155309348715751</x:v>
      </x:c>
      <x:c r="G35" s="82" t="n">
        <x:f>IF(A35=0,D35,MIN(Control!$B$17,D35+F35))</x:f>
        <x:v>10.453443389026058</x:v>
      </x:c>
      <x:c r="H35" s="72" t="n">
        <x:f>MOD(INT(G35)-1,Control!$B$7)+1</x:f>
        <x:v>10</x:v>
      </x:c>
      <x:c r="I35" s="72" t="n">
        <x:f>MIN(Control!$B$6,MAX(1,INT(MAX(0,G35)/Control!$B$7)+1))</x:f>
        <x:v>1</x:v>
      </x:c>
      <x:c r="J35" s="72" t="n">
        <x:f>INDEX(Drivers!$H$8:$H$13,B35)</x:f>
        <x:v>2</x:v>
      </x:c>
      <x:c r="K35" s="72" t="n">
        <x:f>IF(J35=1,INDEX(TrackMap!$I$8:$I$141,H35),INDEX(TrackMap!$L$8:$L$141,H35))</x:f>
        <x:v>3007</x:v>
      </x:c>
      <x:c r="L35" s="72" t="str">
        <x:f>INDEX(TrackMap!$F$8:$F$141,H35)</x:f>
        <x:v>←</x:v>
      </x:c>
      <x:c r="M35" s="86" t="n">
        <x:f>MAX(0,G35/Control!$B$17)</x:f>
        <x:v>0.01560215431197919</x:v>
      </x:c>
      <x:c r="N35" s="72" t="n">
        <x:f>IF(N29&gt;0,N29,IF(G35&gt;=Control!$B$17,A35,0))</x:f>
        <x:v>0</x:v>
      </x:c>
      <x:c r="O35" s="90" t="n">
        <x:f>IF(N35&gt;0,Control!$B$17+Control!$B$8+1-N35,G35)-B35/100000</x:f>
        <x:v>10.453403389026057</x:v>
      </x:c>
      <x:c r="P35" s="72" t="n">
        <x:f>COUNTIF($O$32:$O$37,"&gt;"&amp;O35)+1</x:f>
        <x:v>3</x:v>
      </x:c>
      <x:c r="Q35" s="82" t="n">
        <x:f>MAX($G$32:$G$37)-G35</x:f>
        <x:v>3.963153222494906</x:v>
      </x:c>
      <x:c r="R35" s="72" t="str">
        <x:f>INDEX(TrackMap!$B$8:$B$141,H35)</x:f>
        <x:v>发车大直道</x:v>
      </x:c>
    </x:row>
    <x:row r="36" ht="20" customHeight="1">
      <x:c r="A36" s="72" t="n">
        <x:v>4</x:v>
      </x:c>
      <x:c r="B36" s="72" t="n">
        <x:v>5</x:v>
      </x:c>
      <x:c r="C36" s="72" t="str">
        <x:f>INDEX(Drivers!$B$8:$B$13,B36)</x:f>
        <x:v>青锋</x:v>
      </x:c>
      <x:c r="D36" s="82" t="n">
        <x:f>G30</x:f>
        <x:v>3.316137138276137</x:v>
      </x:c>
      <x:c r="E36" s="82" t="str">
        <x:f>IF(A36=0,"GRID",IF(D36&gt;=Control!$B$17,"FINISHED",IF(AND(A36&gt;=INDEX(Drivers!$G$8:$G$13,B36),A36&lt;INDEX(Drivers!$G$8:$G$13,B36)+INDEX(Drivers!$J$8:$J$13,B36)),"PIT",IF(MOD(A36+INDEX(Drivers!$F$8:$F$13,B36),Control!$B$11)&lt;Control!$B$13,"BOOST","RACE"))))</x:f>
        <x:v>RACE</x:v>
      </x:c>
      <x:c r="F36" s="82" t="n">
        <x:f>IF(OR(E36="GRID",E36="FINISHED",E36="PIT"),0,MAX(Control!$B$15,(INDEX(Drivers!$D$8:$D$13,B36)+INDEX(Drivers!$E$8:$E$13,B36)*SIN((A36+INDEX(Drivers!$F$8:$F$13,B36)+Control!$B$16)*Control!$B$14))*INDEX(TrackMap!$M$8:$M$141,MOD(INT(D36)-1,Control!$B$7)+1)*IF(E36="BOOST",Control!$B$12,1)))</x:f>
        <x:v>4.128874913624289</x:v>
      </x:c>
      <x:c r="G36" s="82" t="n">
        <x:f>IF(A36=0,D36,MIN(Control!$B$17,D36+F36))</x:f>
        <x:v>7.4450120519004255</x:v>
      </x:c>
      <x:c r="H36" s="72" t="n">
        <x:f>MOD(INT(G36)-1,Control!$B$7)+1</x:f>
        <x:v>7</x:v>
      </x:c>
      <x:c r="I36" s="72" t="n">
        <x:f>MIN(Control!$B$6,MAX(1,INT(MAX(0,G36)/Control!$B$7)+1))</x:f>
        <x:v>1</x:v>
      </x:c>
      <x:c r="J36" s="72" t="n">
        <x:f>INDEX(Drivers!$H$8:$H$13,B36)</x:f>
        <x:v>1</x:v>
      </x:c>
      <x:c r="K36" s="72" t="n">
        <x:f>IF(J36=1,INDEX(TrackMap!$I$8:$I$141,H36),INDEX(TrackMap!$L$8:$L$141,H36))</x:f>
        <x:v>3110</x:v>
      </x:c>
      <x:c r="L36" s="72" t="str">
        <x:f>INDEX(TrackMap!$F$8:$F$141,H36)</x:f>
        <x:v>←</x:v>
      </x:c>
      <x:c r="M36" s="86" t="n">
        <x:f>MAX(0,G36/Control!$B$17)</x:f>
        <x:v>0.011111958286418545</x:v>
      </x:c>
      <x:c r="N36" s="72" t="n">
        <x:f>IF(N30&gt;0,N30,IF(G36&gt;=Control!$B$17,A36,0))</x:f>
        <x:v>0</x:v>
      </x:c>
      <x:c r="O36" s="90" t="n">
        <x:f>IF(N36&gt;0,Control!$B$17+Control!$B$8+1-N36,G36)-B36/100000</x:f>
        <x:v>7.444962051900426</x:v>
      </x:c>
      <x:c r="P36" s="72" t="n">
        <x:f>COUNTIF($O$32:$O$37,"&gt;"&amp;O36)+1</x:f>
        <x:v>5</x:v>
      </x:c>
      <x:c r="Q36" s="82" t="n">
        <x:f>MAX($G$32:$G$37)-G36</x:f>
        <x:v>6.971584559620538</x:v>
      </x:c>
      <x:c r="R36" s="72" t="str">
        <x:f>INDEX(TrackMap!$B$8:$B$141,H36)</x:f>
        <x:v>发车大直道</x:v>
      </x:c>
    </x:row>
    <x:row r="37" ht="20" customHeight="1">
      <x:c r="A37" s="72" t="n">
        <x:v>4</x:v>
      </x:c>
      <x:c r="B37" s="72" t="n">
        <x:v>6</x:v>
      </x:c>
      <x:c r="C37" s="72" t="str">
        <x:f>INDEX(Drivers!$B$8:$B$13,B37)</x:f>
        <x:v>玫速</x:v>
      </x:c>
      <x:c r="D37" s="82" t="n">
        <x:f>G31</x:f>
        <x:v>0.11940883692100712</x:v>
      </x:c>
      <x:c r="E37" s="82" t="str">
        <x:f>IF(A37=0,"GRID",IF(D37&gt;=Control!$B$17,"FINISHED",IF(AND(A37&gt;=INDEX(Drivers!$G$8:$G$13,B37),A37&lt;INDEX(Drivers!$G$8:$G$13,B37)+INDEX(Drivers!$J$8:$J$13,B37)),"PIT",IF(MOD(A37+INDEX(Drivers!$F$8:$F$13,B37),Control!$B$11)&lt;Control!$B$13,"BOOST","RACE"))))</x:f>
        <x:v>RACE</x:v>
      </x:c>
      <x:c r="F37" s="82" t="n">
        <x:f>IF(OR(E37="GRID",E37="FINISHED",E37="PIT"),0,MAX(Control!$B$15,(INDEX(Drivers!$D$8:$D$13,B37)+INDEX(Drivers!$E$8:$E$13,B37)*SIN((A37+INDEX(Drivers!$F$8:$F$13,B37)+Control!$B$16)*Control!$B$14))*INDEX(TrackMap!$M$8:$M$141,MOD(INT(D37)-1,Control!$B$7)+1)*IF(E37="BOOST",Control!$B$12,1)))</x:f>
        <x:v>2.4188071765226367</x:v>
      </x:c>
      <x:c r="G37" s="82" t="n">
        <x:f>IF(A37=0,D37,MIN(Control!$B$17,D37+F37))</x:f>
        <x:v>2.538216013443644</x:v>
      </x:c>
      <x:c r="H37" s="72" t="n">
        <x:f>MOD(INT(G37)-1,Control!$B$7)+1</x:f>
        <x:v>2</x:v>
      </x:c>
      <x:c r="I37" s="72" t="n">
        <x:f>MIN(Control!$B$6,MAX(1,INT(MAX(0,G37)/Control!$B$7)+1))</x:f>
        <x:v>1</x:v>
      </x:c>
      <x:c r="J37" s="72" t="n">
        <x:f>INDEX(Drivers!$H$8:$H$13,B37)</x:f>
        <x:v>2</x:v>
      </x:c>
      <x:c r="K37" s="72" t="n">
        <x:f>IF(J37=1,INDEX(TrackMap!$I$8:$I$141,H37),INDEX(TrackMap!$L$8:$L$141,H37))</x:f>
        <x:v>3015</x:v>
      </x:c>
      <x:c r="L37" s="72" t="str">
        <x:f>INDEX(TrackMap!$F$8:$F$141,H37)</x:f>
        <x:v>←</x:v>
      </x:c>
      <x:c r="M37" s="86" t="n">
        <x:f>MAX(0,G37/Control!$B$17)</x:f>
        <x:v>0.003788382109617379</x:v>
      </x:c>
      <x:c r="N37" s="72" t="n">
        <x:f>IF(N31&gt;0,N31,IF(G37&gt;=Control!$B$17,A37,0))</x:f>
        <x:v>0</x:v>
      </x:c>
      <x:c r="O37" s="90" t="n">
        <x:f>IF(N37&gt;0,Control!$B$17+Control!$B$8+1-N37,G37)-B37/100000</x:f>
        <x:v>2.538156013443644</x:v>
      </x:c>
      <x:c r="P37" s="72" t="n">
        <x:f>COUNTIF($O$32:$O$37,"&gt;"&amp;O37)+1</x:f>
        <x:v>6</x:v>
      </x:c>
      <x:c r="Q37" s="82" t="n">
        <x:f>MAX($G$32:$G$37)-G37</x:f>
        <x:v>11.878380598077321</x:v>
      </x:c>
      <x:c r="R37" s="72" t="str">
        <x:f>INDEX(TrackMap!$B$8:$B$141,H37)</x:f>
        <x:v>发车大直道</x:v>
      </x:c>
    </x:row>
    <x:row r="38" ht="20" customHeight="1">
      <x:c r="A38" s="72" t="n">
        <x:v>5</x:v>
      </x:c>
      <x:c r="B38" s="72" t="n">
        <x:v>1</x:v>
      </x:c>
      <x:c r="C38" s="72" t="str">
        <x:f>INDEX(Drivers!$B$8:$B$13,B38)</x:f>
        <x:v>赤焰</x:v>
      </x:c>
      <x:c r="D38" s="82" t="n">
        <x:f>G32</x:f>
        <x:v>14.416596611520964</x:v>
      </x:c>
      <x:c r="E38" s="82" t="str">
        <x:f>IF(A38=0,"GRID",IF(D38&gt;=Control!$B$17,"FINISHED",IF(AND(A38&gt;=INDEX(Drivers!$G$8:$G$13,B38),A38&lt;INDEX(Drivers!$G$8:$G$13,B38)+INDEX(Drivers!$J$8:$J$13,B38)),"PIT",IF(MOD(A38+INDEX(Drivers!$F$8:$F$13,B38),Control!$B$11)&lt;Control!$B$13,"BOOST","RACE"))))</x:f>
        <x:v>RACE</x:v>
      </x:c>
      <x:c r="F38" s="82" t="n">
        <x:f>IF(OR(E38="GRID",E38="FINISHED",E38="PIT"),0,MAX(Control!$B$15,(INDEX(Drivers!$D$8:$D$13,B38)+INDEX(Drivers!$E$8:$E$13,B38)*SIN((A38+INDEX(Drivers!$F$8:$F$13,B38)+Control!$B$16)*Control!$B$14))*INDEX(TrackMap!$M$8:$M$141,MOD(INT(D38)-1,Control!$B$7)+1)*IF(E38="BOOST",Control!$B$12,1)))</x:f>
        <x:v>3.1384216957701256</x:v>
      </x:c>
      <x:c r="G38" s="82" t="n">
        <x:f>IF(A38=0,D38,MIN(Control!$B$17,D38+F38))</x:f>
        <x:v>17.55501830729109</x:v>
      </x:c>
      <x:c r="H38" s="72" t="n">
        <x:f>MOD(INT(G38)-1,Control!$B$7)+1</x:f>
        <x:v>17</x:v>
      </x:c>
      <x:c r="I38" s="72" t="n">
        <x:f>MIN(Control!$B$6,MAX(1,INT(MAX(0,G38)/Control!$B$7)+1))</x:f>
        <x:v>1</x:v>
      </x:c>
      <x:c r="J38" s="72" t="n">
        <x:f>INDEX(Drivers!$H$8:$H$13,B38)</x:f>
        <x:v>1</x:v>
      </x:c>
      <x:c r="K38" s="72" t="n">
        <x:f>IF(J38=1,INDEX(TrackMap!$I$8:$I$141,H38),INDEX(TrackMap!$L$8:$L$141,H38))</x:f>
        <x:v>2503</x:v>
      </x:c>
      <x:c r="L38" s="72" t="str">
        <x:f>INDEX(TrackMap!$F$8:$F$141,H38)</x:f>
        <x:v>↑</x:v>
      </x:c>
      <x:c r="M38" s="86" t="n">
        <x:f>MAX(0,G38/Control!$B$17)</x:f>
        <x:v>0.02620151986162849</x:v>
      </x:c>
      <x:c r="N38" s="72" t="n">
        <x:f>IF(N32&gt;0,N32,IF(G38&gt;=Control!$B$17,A38,0))</x:f>
        <x:v>0</x:v>
      </x:c>
      <x:c r="O38" s="90" t="n">
        <x:f>IF(N38&gt;0,Control!$B$17+Control!$B$8+1-N38,G38)-B38/100000</x:f>
        <x:v>17.55500830729109</x:v>
      </x:c>
      <x:c r="P38" s="72" t="n">
        <x:f>COUNTIF($O$38:$O$43,"&gt;"&amp;O38)+1</x:f>
        <x:v>1</x:v>
      </x:c>
      <x:c r="Q38" s="82" t="n">
        <x:f>MAX($G$38:$G$43)-G38</x:f>
        <x:v>0</x:v>
      </x:c>
      <x:c r="R38" s="72" t="str">
        <x:f>INDEX(TrackMap!$B$8:$B$141,H38)</x:f>
        <x:v>西侧回弯</x:v>
      </x:c>
    </x:row>
    <x:row r="39" ht="20" customHeight="1">
      <x:c r="A39" s="72" t="n">
        <x:v>5</x:v>
      </x:c>
      <x:c r="B39" s="72" t="n">
        <x:v>2</x:v>
      </x:c>
      <x:c r="C39" s="72" t="str">
        <x:f>INDEX(Drivers!$B$8:$B$13,B39)</x:f>
        <x:v>蓝电</x:v>
      </x:c>
      <x:c r="D39" s="82" t="n">
        <x:f>G33</x:f>
        <x:v>13.786351817061682</x:v>
      </x:c>
      <x:c r="E39" s="82" t="str">
        <x:f>IF(A39=0,"GRID",IF(D39&gt;=Control!$B$17,"FINISHED",IF(AND(A39&gt;=INDEX(Drivers!$G$8:$G$13,B39),A39&lt;INDEX(Drivers!$G$8:$G$13,B39)+INDEX(Drivers!$J$8:$J$13,B39)),"PIT",IF(MOD(A39+INDEX(Drivers!$F$8:$F$13,B39),Control!$B$11)&lt;Control!$B$13,"BOOST","RACE"))))</x:f>
        <x:v>RACE</x:v>
      </x:c>
      <x:c r="F39" s="82" t="n">
        <x:f>IF(OR(E39="GRID",E39="FINISHED",E39="PIT"),0,MAX(Control!$B$15,(INDEX(Drivers!$D$8:$D$13,B39)+INDEX(Drivers!$E$8:$E$13,B39)*SIN((A39+INDEX(Drivers!$F$8:$F$13,B39)+Control!$B$16)*Control!$B$14))*INDEX(TrackMap!$M$8:$M$141,MOD(INT(D39)-1,Control!$B$7)+1)*IF(E39="BOOST",Control!$B$12,1)))</x:f>
        <x:v>2.701615318933176</x:v>
      </x:c>
      <x:c r="G39" s="82" t="n">
        <x:f>IF(A39=0,D39,MIN(Control!$B$17,D39+F39))</x:f>
        <x:v>16.487967135994857</x:v>
      </x:c>
      <x:c r="H39" s="72" t="n">
        <x:f>MOD(INT(G39)-1,Control!$B$7)+1</x:f>
        <x:v>16</x:v>
      </x:c>
      <x:c r="I39" s="72" t="n">
        <x:f>MIN(Control!$B$6,MAX(1,INT(MAX(0,G39)/Control!$B$7)+1))</x:f>
        <x:v>1</x:v>
      </x:c>
      <x:c r="J39" s="72" t="n">
        <x:f>INDEX(Drivers!$H$8:$H$13,B39)</x:f>
        <x:v>2</x:v>
      </x:c>
      <x:c r="K39" s="72" t="n">
        <x:f>IF(J39=1,INDEX(TrackMap!$I$8:$I$141,H39),INDEX(TrackMap!$L$8:$L$141,H39))</x:f>
        <x:v>2604</x:v>
      </x:c>
      <x:c r="L39" s="72" t="str">
        <x:f>INDEX(TrackMap!$F$8:$F$141,H39)</x:f>
        <x:v>↑</x:v>
      </x:c>
      <x:c r="M39" s="86" t="n">
        <x:f>MAX(0,G39/Control!$B$17)</x:f>
        <x:v>0.024608906173126652</x:v>
      </x:c>
      <x:c r="N39" s="72" t="n">
        <x:f>IF(N33&gt;0,N33,IF(G39&gt;=Control!$B$17,A39,0))</x:f>
        <x:v>0</x:v>
      </x:c>
      <x:c r="O39" s="90" t="n">
        <x:f>IF(N39&gt;0,Control!$B$17+Control!$B$8+1-N39,G39)-B39/100000</x:f>
        <x:v>16.487947135994858</x:v>
      </x:c>
      <x:c r="P39" s="72" t="n">
        <x:f>COUNTIF($O$38:$O$43,"&gt;"&amp;O39)+1</x:f>
        <x:v>2</x:v>
      </x:c>
      <x:c r="Q39" s="82" t="n">
        <x:f>MAX($G$38:$G$43)-G39</x:f>
        <x:v>1.0670511712962316</x:v>
      </x:c>
      <x:c r="R39" s="72" t="str">
        <x:f>INDEX(TrackMap!$B$8:$B$141,H39)</x:f>
        <x:v>西侧回弯</x:v>
      </x:c>
    </x:row>
    <x:row r="40" ht="20" customHeight="1">
      <x:c r="A40" s="72" t="n">
        <x:v>5</x:v>
      </x:c>
      <x:c r="B40" s="72" t="n">
        <x:v>3</x:v>
      </x:c>
      <x:c r="C40" s="72" t="str">
        <x:f>INDEX(Drivers!$B$8:$B$13,B40)</x:f>
        <x:v>金翼</x:v>
      </x:c>
      <x:c r="D40" s="82" t="n">
        <x:f>G34</x:f>
        <x:v>7.6226466282764545</x:v>
      </x:c>
      <x:c r="E40" s="82" t="str">
        <x:f>IF(A40=0,"GRID",IF(D40&gt;=Control!$B$17,"FINISHED",IF(AND(A40&gt;=INDEX(Drivers!$G$8:$G$13,B40),A40&lt;INDEX(Drivers!$G$8:$G$13,B40)+INDEX(Drivers!$J$8:$J$13,B40)),"PIT",IF(MOD(A40+INDEX(Drivers!$F$8:$F$13,B40),Control!$B$11)&lt;Control!$B$13,"BOOST","RACE"))))</x:f>
        <x:v>RACE</x:v>
      </x:c>
      <x:c r="F40" s="82" t="n">
        <x:f>IF(OR(E40="GRID",E40="FINISHED",E40="PIT"),0,MAX(Control!$B$15,(INDEX(Drivers!$D$8:$D$13,B40)+INDEX(Drivers!$E$8:$E$13,B40)*SIN((A40+INDEX(Drivers!$F$8:$F$13,B40)+Control!$B$16)*Control!$B$14))*INDEX(TrackMap!$M$8:$M$141,MOD(INT(D40)-1,Control!$B$7)+1)*IF(E40="BOOST",Control!$B$12,1)))</x:f>
        <x:v>3.525562404956969</x:v>
      </x:c>
      <x:c r="G40" s="82" t="n">
        <x:f>IF(A40=0,D40,MIN(Control!$B$17,D40+F40))</x:f>
        <x:v>11.148209033233424</x:v>
      </x:c>
      <x:c r="H40" s="72" t="n">
        <x:f>MOD(INT(G40)-1,Control!$B$7)+1</x:f>
        <x:v>11</x:v>
      </x:c>
      <x:c r="I40" s="72" t="n">
        <x:f>MIN(Control!$B$6,MAX(1,INT(MAX(0,G40)/Control!$B$7)+1))</x:f>
        <x:v>1</x:v>
      </x:c>
      <x:c r="J40" s="72" t="n">
        <x:f>INDEX(Drivers!$H$8:$H$13,B40)</x:f>
        <x:v>1</x:v>
      </x:c>
      <x:c r="K40" s="72" t="n">
        <x:f>IF(J40=1,INDEX(TrackMap!$I$8:$I$141,H40),INDEX(TrackMap!$L$8:$L$141,H40))</x:f>
        <x:v>3106</x:v>
      </x:c>
      <x:c r="L40" s="72" t="str">
        <x:f>INDEX(TrackMap!$F$8:$F$141,H40)</x:f>
        <x:v>←</x:v>
      </x:c>
      <x:c r="M40" s="86" t="n">
        <x:f>MAX(0,G40/Control!$B$17)</x:f>
        <x:v>0.01663911796004989</x:v>
      </x:c>
      <x:c r="N40" s="72" t="n">
        <x:f>IF(N34&gt;0,N34,IF(G40&gt;=Control!$B$17,A40,0))</x:f>
        <x:v>0</x:v>
      </x:c>
      <x:c r="O40" s="90" t="n">
        <x:f>IF(N40&gt;0,Control!$B$17+Control!$B$8+1-N40,G40)-B40/100000</x:f>
        <x:v>11.148179033233424</x:v>
      </x:c>
      <x:c r="P40" s="72" t="n">
        <x:f>COUNTIF($O$38:$O$43,"&gt;"&amp;O40)+1</x:f>
        <x:v>5</x:v>
      </x:c>
      <x:c r="Q40" s="82" t="n">
        <x:f>MAX($G$38:$G$43)-G40</x:f>
        <x:v>6.4068092740576645</x:v>
      </x:c>
      <x:c r="R40" s="72" t="str">
        <x:f>INDEX(TrackMap!$B$8:$B$141,H40)</x:f>
        <x:v>发车大直道</x:v>
      </x:c>
    </x:row>
    <x:row r="41" ht="20" customHeight="1">
      <x:c r="A41" s="72" t="n">
        <x:v>5</x:v>
      </x:c>
      <x:c r="B41" s="72" t="n">
        <x:v>4</x:v>
      </x:c>
      <x:c r="C41" s="72" t="str">
        <x:f>INDEX(Drivers!$B$8:$B$13,B41)</x:f>
        <x:v>紫影</x:v>
      </x:c>
      <x:c r="D41" s="82" t="n">
        <x:f>G35</x:f>
        <x:v>10.453443389026058</x:v>
      </x:c>
      <x:c r="E41" s="82" t="str">
        <x:f>IF(A41=0,"GRID",IF(D41&gt;=Control!$B$17,"FINISHED",IF(AND(A41&gt;=INDEX(Drivers!$G$8:$G$13,B41),A41&lt;INDEX(Drivers!$G$8:$G$13,B41)+INDEX(Drivers!$J$8:$J$13,B41)),"PIT",IF(MOD(A41+INDEX(Drivers!$F$8:$F$13,B41),Control!$B$11)&lt;Control!$B$13,"BOOST","RACE"))))</x:f>
        <x:v>RACE</x:v>
      </x:c>
      <x:c r="F41" s="82" t="n">
        <x:f>IF(OR(E41="GRID",E41="FINISHED",E41="PIT"),0,MAX(Control!$B$15,(INDEX(Drivers!$D$8:$D$13,B41)+INDEX(Drivers!$E$8:$E$13,B41)*SIN((A41+INDEX(Drivers!$F$8:$F$13,B41)+Control!$B$16)*Control!$B$14))*INDEX(TrackMap!$M$8:$M$141,MOD(INT(D41)-1,Control!$B$7)+1)*IF(E41="BOOST",Control!$B$12,1)))</x:f>
        <x:v>4.057186199077684</x:v>
      </x:c>
      <x:c r="G41" s="82" t="n">
        <x:f>IF(A41=0,D41,MIN(Control!$B$17,D41+F41))</x:f>
        <x:v>14.510629588103741</x:v>
      </x:c>
      <x:c r="H41" s="72" t="n">
        <x:f>MOD(INT(G41)-1,Control!$B$7)+1</x:f>
        <x:v>14</x:v>
      </x:c>
      <x:c r="I41" s="72" t="n">
        <x:f>MIN(Control!$B$6,MAX(1,INT(MAX(0,G41)/Control!$B$7)+1))</x:f>
        <x:v>1</x:v>
      </x:c>
      <x:c r="J41" s="72" t="n">
        <x:f>INDEX(Drivers!$H$8:$H$13,B41)</x:f>
        <x:v>2</x:v>
      </x:c>
      <x:c r="K41" s="72" t="n">
        <x:f>IF(J41=1,INDEX(TrackMap!$I$8:$I$141,H41),INDEX(TrackMap!$L$8:$L$141,H41))</x:f>
        <x:v>2804</x:v>
      </x:c>
      <x:c r="L41" s="72" t="str">
        <x:f>INDEX(TrackMap!$F$8:$F$141,H41)</x:f>
        <x:v>↑</x:v>
      </x:c>
      <x:c r="M41" s="86" t="n">
        <x:f>MAX(0,G41/Control!$B$17)</x:f>
        <x:v>0.021657656101647375</x:v>
      </x:c>
      <x:c r="N41" s="72" t="n">
        <x:f>IF(N35&gt;0,N35,IF(G41&gt;=Control!$B$17,A41,0))</x:f>
        <x:v>0</x:v>
      </x:c>
      <x:c r="O41" s="90" t="n">
        <x:f>IF(N41&gt;0,Control!$B$17+Control!$B$8+1-N41,G41)-B41/100000</x:f>
        <x:v>14.510589588103741</x:v>
      </x:c>
      <x:c r="P41" s="72" t="n">
        <x:f>COUNTIF($O$38:$O$43,"&gt;"&amp;O41)+1</x:f>
        <x:v>3</x:v>
      </x:c>
      <x:c r="Q41" s="82" t="n">
        <x:f>MAX($G$38:$G$43)-G41</x:f>
        <x:v>3.0443887191873475</x:v>
      </x:c>
      <x:c r="R41" s="72" t="str">
        <x:f>INDEX(TrackMap!$B$8:$B$141,H41)</x:f>
        <x:v>西侧回弯</x:v>
      </x:c>
    </x:row>
    <x:row r="42" ht="20" customHeight="1">
      <x:c r="A42" s="72" t="n">
        <x:v>5</x:v>
      </x:c>
      <x:c r="B42" s="72" t="n">
        <x:v>5</x:v>
      </x:c>
      <x:c r="C42" s="72" t="str">
        <x:f>INDEX(Drivers!$B$8:$B$13,B42)</x:f>
        <x:v>青锋</x:v>
      </x:c>
      <x:c r="D42" s="82" t="n">
        <x:f>G36</x:f>
        <x:v>7.4450120519004255</x:v>
      </x:c>
      <x:c r="E42" s="82" t="str">
        <x:f>IF(A42=0,"GRID",IF(D42&gt;=Control!$B$17,"FINISHED",IF(AND(A42&gt;=INDEX(Drivers!$G$8:$G$13,B42),A42&lt;INDEX(Drivers!$G$8:$G$13,B42)+INDEX(Drivers!$J$8:$J$13,B42)),"PIT",IF(MOD(A42+INDEX(Drivers!$F$8:$F$13,B42),Control!$B$11)&lt;Control!$B$13,"BOOST","RACE"))))</x:f>
        <x:v>RACE</x:v>
      </x:c>
      <x:c r="F42" s="82" t="n">
        <x:f>IF(OR(E42="GRID",E42="FINISHED",E42="PIT"),0,MAX(Control!$B$15,(INDEX(Drivers!$D$8:$D$13,B42)+INDEX(Drivers!$E$8:$E$13,B42)*SIN((A42+INDEX(Drivers!$F$8:$F$13,B42)+Control!$B$16)*Control!$B$14))*INDEX(TrackMap!$M$8:$M$141,MOD(INT(D42)-1,Control!$B$7)+1)*IF(E42="BOOST",Control!$B$12,1)))</x:f>
        <x:v>4.042062128352435</x:v>
      </x:c>
      <x:c r="G42" s="82" t="n">
        <x:f>IF(A42=0,D42,MIN(Control!$B$17,D42+F42))</x:f>
        <x:v>11.487074180252861</x:v>
      </x:c>
      <x:c r="H42" s="72" t="n">
        <x:f>MOD(INT(G42)-1,Control!$B$7)+1</x:f>
        <x:v>11</x:v>
      </x:c>
      <x:c r="I42" s="72" t="n">
        <x:f>MIN(Control!$B$6,MAX(1,INT(MAX(0,G42)/Control!$B$7)+1))</x:f>
        <x:v>1</x:v>
      </x:c>
      <x:c r="J42" s="72" t="n">
        <x:f>INDEX(Drivers!$H$8:$H$13,B42)</x:f>
        <x:v>1</x:v>
      </x:c>
      <x:c r="K42" s="72" t="n">
        <x:f>IF(J42=1,INDEX(TrackMap!$I$8:$I$141,H42),INDEX(TrackMap!$L$8:$L$141,H42))</x:f>
        <x:v>3106</x:v>
      </x:c>
      <x:c r="L42" s="72" t="str">
        <x:f>INDEX(TrackMap!$F$8:$F$141,H42)</x:f>
        <x:v>←</x:v>
      </x:c>
      <x:c r="M42" s="86" t="n">
        <x:f>MAX(0,G42/Control!$B$17)</x:f>
        <x:v>0.0171448868361983</x:v>
      </x:c>
      <x:c r="N42" s="72" t="n">
        <x:f>IF(N36&gt;0,N36,IF(G42&gt;=Control!$B$17,A42,0))</x:f>
        <x:v>0</x:v>
      </x:c>
      <x:c r="O42" s="90" t="n">
        <x:f>IF(N42&gt;0,Control!$B$17+Control!$B$8+1-N42,G42)-B42/100000</x:f>
        <x:v>11.487024180252861</x:v>
      </x:c>
      <x:c r="P42" s="72" t="n">
        <x:f>COUNTIF($O$38:$O$43,"&gt;"&amp;O42)+1</x:f>
        <x:v>4</x:v>
      </x:c>
      <x:c r="Q42" s="82" t="n">
        <x:f>MAX($G$38:$G$43)-G42</x:f>
        <x:v>6.067944127038228</x:v>
      </x:c>
      <x:c r="R42" s="72" t="str">
        <x:f>INDEX(TrackMap!$B$8:$B$141,H42)</x:f>
        <x:v>发车大直道</x:v>
      </x:c>
    </x:row>
    <x:row r="43" ht="20" customHeight="1">
      <x:c r="A43" s="72" t="n">
        <x:v>5</x:v>
      </x:c>
      <x:c r="B43" s="72" t="n">
        <x:v>6</x:v>
      </x:c>
      <x:c r="C43" s="72" t="str">
        <x:f>INDEX(Drivers!$B$8:$B$13,B43)</x:f>
        <x:v>玫速</x:v>
      </x:c>
      <x:c r="D43" s="82" t="n">
        <x:f>G37</x:f>
        <x:v>2.538216013443644</x:v>
      </x:c>
      <x:c r="E43" s="82" t="str">
        <x:f>IF(A43=0,"GRID",IF(D43&gt;=Control!$B$17,"FINISHED",IF(AND(A43&gt;=INDEX(Drivers!$G$8:$G$13,B43),A43&lt;INDEX(Drivers!$G$8:$G$13,B43)+INDEX(Drivers!$J$8:$J$13,B43)),"PIT",IF(MOD(A43+INDEX(Drivers!$F$8:$F$13,B43),Control!$B$11)&lt;Control!$B$13,"BOOST","RACE"))))</x:f>
        <x:v>RACE</x:v>
      </x:c>
      <x:c r="F43" s="82" t="n">
        <x:f>IF(OR(E43="GRID",E43="FINISHED",E43="PIT"),0,MAX(Control!$B$15,(INDEX(Drivers!$D$8:$D$13,B43)+INDEX(Drivers!$E$8:$E$13,B43)*SIN((A43+INDEX(Drivers!$F$8:$F$13,B43)+Control!$B$16)*Control!$B$14))*INDEX(TrackMap!$M$8:$M$141,MOD(INT(D43)-1,Control!$B$7)+1)*IF(E43="BOOST",Control!$B$12,1)))</x:f>
        <x:v>3.083268447077607</x:v>
      </x:c>
      <x:c r="G43" s="82" t="n">
        <x:f>IF(A43=0,D43,MIN(Control!$B$17,D43+F43))</x:f>
        <x:v>5.62148446052125</x:v>
      </x:c>
      <x:c r="H43" s="72" t="n">
        <x:f>MOD(INT(G43)-1,Control!$B$7)+1</x:f>
        <x:v>5</x:v>
      </x:c>
      <x:c r="I43" s="72" t="n">
        <x:f>MIN(Control!$B$6,MAX(1,INT(MAX(0,G43)/Control!$B$7)+1))</x:f>
        <x:v>1</x:v>
      </x:c>
      <x:c r="J43" s="72" t="n">
        <x:f>INDEX(Drivers!$H$8:$H$13,B43)</x:f>
        <x:v>2</x:v>
      </x:c>
      <x:c r="K43" s="72" t="n">
        <x:f>IF(J43=1,INDEX(TrackMap!$I$8:$I$141,H43),INDEX(TrackMap!$L$8:$L$141,H43))</x:f>
        <x:v>3012</x:v>
      </x:c>
      <x:c r="L43" s="72" t="str">
        <x:f>INDEX(TrackMap!$F$8:$F$141,H43)</x:f>
        <x:v>←</x:v>
      </x:c>
      <x:c r="M43" s="86" t="n">
        <x:f>MAX(0,G43/Control!$B$17)</x:f>
        <x:v>0.008390275314210821</x:v>
      </x:c>
      <x:c r="N43" s="72" t="n">
        <x:f>IF(N37&gt;0,N37,IF(G43&gt;=Control!$B$17,A43,0))</x:f>
        <x:v>0</x:v>
      </x:c>
      <x:c r="O43" s="90" t="n">
        <x:f>IF(N43&gt;0,Control!$B$17+Control!$B$8+1-N43,G43)-B43/100000</x:f>
        <x:v>5.62142446052125</x:v>
      </x:c>
      <x:c r="P43" s="72" t="n">
        <x:f>COUNTIF($O$38:$O$43,"&gt;"&amp;O43)+1</x:f>
        <x:v>6</x:v>
      </x:c>
      <x:c r="Q43" s="82" t="n">
        <x:f>MAX($G$38:$G$43)-G43</x:f>
        <x:v>11.933533846769839</x:v>
      </x:c>
      <x:c r="R43" s="72" t="str">
        <x:f>INDEX(TrackMap!$B$8:$B$141,H43)</x:f>
        <x:v>发车大直道</x:v>
      </x:c>
    </x:row>
    <x:row r="44" ht="20" customHeight="1">
      <x:c r="A44" s="72" t="n">
        <x:v>6</x:v>
      </x:c>
      <x:c r="B44" s="72" t="n">
        <x:v>1</x:v>
      </x:c>
      <x:c r="C44" s="72" t="str">
        <x:f>INDEX(Drivers!$B$8:$B$13,B44)</x:f>
        <x:v>赤焰</x:v>
      </x:c>
      <x:c r="D44" s="82" t="n">
        <x:f>G38</x:f>
        <x:v>17.55501830729109</x:v>
      </x:c>
      <x:c r="E44" s="82" t="str">
        <x:f>IF(A44=0,"GRID",IF(D44&gt;=Control!$B$17,"FINISHED",IF(AND(A44&gt;=INDEX(Drivers!$G$8:$G$13,B44),A44&lt;INDEX(Drivers!$G$8:$G$13,B44)+INDEX(Drivers!$J$8:$J$13,B44)),"PIT",IF(MOD(A44+INDEX(Drivers!$F$8:$F$13,B44),Control!$B$11)&lt;Control!$B$13,"BOOST","RACE"))))</x:f>
        <x:v>RACE</x:v>
      </x:c>
      <x:c r="F44" s="82" t="n">
        <x:f>IF(OR(E44="GRID",E44="FINISHED",E44="PIT"),0,MAX(Control!$B$15,(INDEX(Drivers!$D$8:$D$13,B44)+INDEX(Drivers!$E$8:$E$13,B44)*SIN((A44+INDEX(Drivers!$F$8:$F$13,B44)+Control!$B$16)*Control!$B$14))*INDEX(TrackMap!$M$8:$M$141,MOD(INT(D44)-1,Control!$B$7)+1)*IF(E44="BOOST",Control!$B$12,1)))</x:f>
        <x:v>3.232545773103188</x:v>
      </x:c>
      <x:c r="G44" s="82" t="n">
        <x:f>IF(A44=0,D44,MIN(Control!$B$17,D44+F44))</x:f>
        <x:v>20.787564080394276</x:v>
      </x:c>
      <x:c r="H44" s="72" t="n">
        <x:f>MOD(INT(G44)-1,Control!$B$7)+1</x:f>
        <x:v>20</x:v>
      </x:c>
      <x:c r="I44" s="72" t="n">
        <x:f>MIN(Control!$B$6,MAX(1,INT(MAX(0,G44)/Control!$B$7)+1))</x:f>
        <x:v>1</x:v>
      </x:c>
      <x:c r="J44" s="72" t="n">
        <x:f>INDEX(Drivers!$H$8:$H$13,B44)</x:f>
        <x:v>1</x:v>
      </x:c>
      <x:c r="K44" s="72" t="n">
        <x:f>IF(J44=1,INDEX(TrackMap!$I$8:$I$141,H44),INDEX(TrackMap!$L$8:$L$141,H44))</x:f>
        <x:v>2204</x:v>
      </x:c>
      <x:c r="L44" s="72" t="str">
        <x:f>INDEX(TrackMap!$F$8:$F$141,H44)</x:f>
        <x:v>↑</x:v>
      </x:c>
      <x:c r="M44" s="86" t="n">
        <x:f>MAX(0,G44/Control!$B$17)</x:f>
        <x:v>0.03102621504536459</x:v>
      </x:c>
      <x:c r="N44" s="72" t="n">
        <x:f>IF(N38&gt;0,N38,IF(G44&gt;=Control!$B$17,A44,0))</x:f>
        <x:v>0</x:v>
      </x:c>
      <x:c r="O44" s="90" t="n">
        <x:f>IF(N44&gt;0,Control!$B$17+Control!$B$8+1-N44,G44)-B44/100000</x:f>
        <x:v>20.787554080394276</x:v>
      </x:c>
      <x:c r="P44" s="72" t="n">
        <x:f>COUNTIF($O$44:$O$49,"&gt;"&amp;O44)+1</x:f>
        <x:v>1</x:v>
      </x:c>
      <x:c r="Q44" s="82" t="n">
        <x:f>MAX($G$44:$G$49)-G44</x:f>
        <x:v>0</x:v>
      </x:c>
      <x:c r="R44" s="72" t="str">
        <x:f>INDEX(TrackMap!$B$8:$B$141,H44)</x:f>
        <x:v>西侧回弯</x:v>
      </x:c>
    </x:row>
    <x:row r="45" ht="20" customHeight="1">
      <x:c r="A45" s="72" t="n">
        <x:v>6</x:v>
      </x:c>
      <x:c r="B45" s="72" t="n">
        <x:v>2</x:v>
      </x:c>
      <x:c r="C45" s="72" t="str">
        <x:f>INDEX(Drivers!$B$8:$B$13,B45)</x:f>
        <x:v>蓝电</x:v>
      </x:c>
      <x:c r="D45" s="82" t="n">
        <x:f>G39</x:f>
        <x:v>16.487967135994857</x:v>
      </x:c>
      <x:c r="E45" s="82" t="str">
        <x:f>IF(A45=0,"GRID",IF(D45&gt;=Control!$B$17,"FINISHED",IF(AND(A45&gt;=INDEX(Drivers!$G$8:$G$13,B45),A45&lt;INDEX(Drivers!$G$8:$G$13,B45)+INDEX(Drivers!$J$8:$J$13,B45)),"PIT",IF(MOD(A45+INDEX(Drivers!$F$8:$F$13,B45),Control!$B$11)&lt;Control!$B$13,"BOOST","RACE"))))</x:f>
        <x:v>RACE</x:v>
      </x:c>
      <x:c r="F45" s="82" t="n">
        <x:f>IF(OR(E45="GRID",E45="FINISHED",E45="PIT"),0,MAX(Control!$B$15,(INDEX(Drivers!$D$8:$D$13,B45)+INDEX(Drivers!$E$8:$E$13,B45)*SIN((A45+INDEX(Drivers!$F$8:$F$13,B45)+Control!$B$16)*Control!$B$14))*INDEX(TrackMap!$M$8:$M$141,MOD(INT(D45)-1,Control!$B$7)+1)*IF(E45="BOOST",Control!$B$12,1)))</x:f>
        <x:v>2.541737639400512</x:v>
      </x:c>
      <x:c r="G45" s="82" t="n">
        <x:f>IF(A45=0,D45,MIN(Control!$B$17,D45+F45))</x:f>
        <x:v>19.02970477539537</x:v>
      </x:c>
      <x:c r="H45" s="72" t="n">
        <x:f>MOD(INT(G45)-1,Control!$B$7)+1</x:f>
        <x:v>19</x:v>
      </x:c>
      <x:c r="I45" s="72" t="n">
        <x:f>MIN(Control!$B$6,MAX(1,INT(MAX(0,G45)/Control!$B$7)+1))</x:f>
        <x:v>1</x:v>
      </x:c>
      <x:c r="J45" s="72" t="n">
        <x:f>INDEX(Drivers!$H$8:$H$13,B45)</x:f>
        <x:v>2</x:v>
      </x:c>
      <x:c r="K45" s="72" t="n">
        <x:f>IF(J45=1,INDEX(TrackMap!$I$8:$I$141,H45),INDEX(TrackMap!$L$8:$L$141,H45))</x:f>
        <x:v>2304</x:v>
      </x:c>
      <x:c r="L45" s="72" t="str">
        <x:f>INDEX(TrackMap!$F$8:$F$141,H45)</x:f>
        <x:v>↑</x:v>
      </x:c>
      <x:c r="M45" s="86" t="n">
        <x:f>MAX(0,G45/Control!$B$17)</x:f>
        <x:v>0.028402544440888612</x:v>
      </x:c>
      <x:c r="N45" s="72" t="n">
        <x:f>IF(N39&gt;0,N39,IF(G45&gt;=Control!$B$17,A45,0))</x:f>
        <x:v>0</x:v>
      </x:c>
      <x:c r="O45" s="90" t="n">
        <x:f>IF(N45&gt;0,Control!$B$17+Control!$B$8+1-N45,G45)-B45/100000</x:f>
        <x:v>19.02968477539537</x:v>
      </x:c>
      <x:c r="P45" s="72" t="n">
        <x:f>COUNTIF($O$44:$O$49,"&gt;"&amp;O45)+1</x:f>
        <x:v>2</x:v>
      </x:c>
      <x:c r="Q45" s="82" t="n">
        <x:f>MAX($G$44:$G$49)-G45</x:f>
        <x:v>1.757859304998906</x:v>
      </x:c>
      <x:c r="R45" s="72" t="str">
        <x:f>INDEX(TrackMap!$B$8:$B$141,H45)</x:f>
        <x:v>西侧回弯</x:v>
      </x:c>
    </x:row>
    <x:row r="46" ht="20" customHeight="1">
      <x:c r="A46" s="72" t="n">
        <x:v>6</x:v>
      </x:c>
      <x:c r="B46" s="72" t="n">
        <x:v>3</x:v>
      </x:c>
      <x:c r="C46" s="72" t="str">
        <x:f>INDEX(Drivers!$B$8:$B$13,B46)</x:f>
        <x:v>金翼</x:v>
      </x:c>
      <x:c r="D46" s="82" t="n">
        <x:f>G40</x:f>
        <x:v>11.148209033233424</x:v>
      </x:c>
      <x:c r="E46" s="82" t="str">
        <x:f>IF(A46=0,"GRID",IF(D46&gt;=Control!$B$17,"FINISHED",IF(AND(A46&gt;=INDEX(Drivers!$G$8:$G$13,B46),A46&lt;INDEX(Drivers!$G$8:$G$13,B46)+INDEX(Drivers!$J$8:$J$13,B46)),"PIT",IF(MOD(A46+INDEX(Drivers!$F$8:$F$13,B46),Control!$B$11)&lt;Control!$B$13,"BOOST","RACE"))))</x:f>
        <x:v>RACE</x:v>
      </x:c>
      <x:c r="F46" s="82" t="n">
        <x:f>IF(OR(E46="GRID",E46="FINISHED",E46="PIT"),0,MAX(Control!$B$15,(INDEX(Drivers!$D$8:$D$13,B46)+INDEX(Drivers!$E$8:$E$13,B46)*SIN((A46+INDEX(Drivers!$F$8:$F$13,B46)+Control!$B$16)*Control!$B$14))*INDEX(TrackMap!$M$8:$M$141,MOD(INT(D46)-1,Control!$B$7)+1)*IF(E46="BOOST",Control!$B$12,1)))</x:f>
        <x:v>3.70681448183931</x:v>
      </x:c>
      <x:c r="G46" s="82" t="n">
        <x:f>IF(A46=0,D46,MIN(Control!$B$17,D46+F46))</x:f>
        <x:v>14.855023515072734</x:v>
      </x:c>
      <x:c r="H46" s="72" t="n">
        <x:f>MOD(INT(G46)-1,Control!$B$7)+1</x:f>
        <x:v>14</x:v>
      </x:c>
      <x:c r="I46" s="72" t="n">
        <x:f>MIN(Control!$B$6,MAX(1,INT(MAX(0,G46)/Control!$B$7)+1))</x:f>
        <x:v>1</x:v>
      </x:c>
      <x:c r="J46" s="72" t="n">
        <x:f>INDEX(Drivers!$H$8:$H$13,B46)</x:f>
        <x:v>1</x:v>
      </x:c>
      <x:c r="K46" s="72" t="n">
        <x:f>IF(J46=1,INDEX(TrackMap!$I$8:$I$141,H46),INDEX(TrackMap!$L$8:$L$141,H46))</x:f>
        <x:v>2803</x:v>
      </x:c>
      <x:c r="L46" s="72" t="str">
        <x:f>INDEX(TrackMap!$F$8:$F$141,H46)</x:f>
        <x:v>↑</x:v>
      </x:c>
      <x:c r="M46" s="86" t="n">
        <x:f>MAX(0,G46/Control!$B$17)</x:f>
        <x:v>0.02217167688816826</x:v>
      </x:c>
      <x:c r="N46" s="72" t="n">
        <x:f>IF(N40&gt;0,N40,IF(G46&gt;=Control!$B$17,A46,0))</x:f>
        <x:v>0</x:v>
      </x:c>
      <x:c r="O46" s="90" t="n">
        <x:f>IF(N46&gt;0,Control!$B$17+Control!$B$8+1-N46,G46)-B46/100000</x:f>
        <x:v>14.854993515072733</x:v>
      </x:c>
      <x:c r="P46" s="72" t="n">
        <x:f>COUNTIF($O$44:$O$49,"&gt;"&amp;O46)+1</x:f>
        <x:v>5</x:v>
      </x:c>
      <x:c r="Q46" s="82" t="n">
        <x:f>MAX($G$44:$G$49)-G46</x:f>
        <x:v>5.932540565321542</x:v>
      </x:c>
      <x:c r="R46" s="72" t="str">
        <x:f>INDEX(TrackMap!$B$8:$B$141,H46)</x:f>
        <x:v>西侧回弯</x:v>
      </x:c>
    </x:row>
    <x:row r="47" ht="20" customHeight="1">
      <x:c r="A47" s="72" t="n">
        <x:v>6</x:v>
      </x:c>
      <x:c r="B47" s="72" t="n">
        <x:v>4</x:v>
      </x:c>
      <x:c r="C47" s="72" t="str">
        <x:f>INDEX(Drivers!$B$8:$B$13,B47)</x:f>
        <x:v>紫影</x:v>
      </x:c>
      <x:c r="D47" s="82" t="n">
        <x:f>G41</x:f>
        <x:v>14.510629588103741</x:v>
      </x:c>
      <x:c r="E47" s="82" t="str">
        <x:f>IF(A47=0,"GRID",IF(D47&gt;=Control!$B$17,"FINISHED",IF(AND(A47&gt;=INDEX(Drivers!$G$8:$G$13,B47),A47&lt;INDEX(Drivers!$G$8:$G$13,B47)+INDEX(Drivers!$J$8:$J$13,B47)),"PIT",IF(MOD(A47+INDEX(Drivers!$F$8:$F$13,B47),Control!$B$11)&lt;Control!$B$13,"BOOST","RACE"))))</x:f>
        <x:v>RACE</x:v>
      </x:c>
      <x:c r="F47" s="82" t="n">
        <x:f>IF(OR(E47="GRID",E47="FINISHED",E47="PIT"),0,MAX(Control!$B$15,(INDEX(Drivers!$D$8:$D$13,B47)+INDEX(Drivers!$E$8:$E$13,B47)*SIN((A47+INDEX(Drivers!$F$8:$F$13,B47)+Control!$B$16)*Control!$B$14))*INDEX(TrackMap!$M$8:$M$141,MOD(INT(D47)-1,Control!$B$7)+1)*IF(E47="BOOST",Control!$B$12,1)))</x:f>
        <x:v>3.039804332878456</x:v>
      </x:c>
      <x:c r="G47" s="82" t="n">
        <x:f>IF(A47=0,D47,MIN(Control!$B$17,D47+F47))</x:f>
        <x:v>17.550433920982197</x:v>
      </x:c>
      <x:c r="H47" s="72" t="n">
        <x:f>MOD(INT(G47)-1,Control!$B$7)+1</x:f>
        <x:v>17</x:v>
      </x:c>
      <x:c r="I47" s="72" t="n">
        <x:f>MIN(Control!$B$6,MAX(1,INT(MAX(0,G47)/Control!$B$7)+1))</x:f>
        <x:v>1</x:v>
      </x:c>
      <x:c r="J47" s="72" t="n">
        <x:f>INDEX(Drivers!$H$8:$H$13,B47)</x:f>
        <x:v>2</x:v>
      </x:c>
      <x:c r="K47" s="72" t="n">
        <x:f>IF(J47=1,INDEX(TrackMap!$I$8:$I$141,H47),INDEX(TrackMap!$L$8:$L$141,H47))</x:f>
        <x:v>2504</x:v>
      </x:c>
      <x:c r="L47" s="72" t="str">
        <x:f>INDEX(TrackMap!$F$8:$F$141,H47)</x:f>
        <x:v>↑</x:v>
      </x:c>
      <x:c r="M47" s="86" t="n">
        <x:f>MAX(0,G47/Control!$B$17)</x:f>
        <x:v>0.02619467749400328</x:v>
      </x:c>
      <x:c r="N47" s="72" t="n">
        <x:f>IF(N41&gt;0,N41,IF(G47&gt;=Control!$B$17,A47,0))</x:f>
        <x:v>0</x:v>
      </x:c>
      <x:c r="O47" s="90" t="n">
        <x:f>IF(N47&gt;0,Control!$B$17+Control!$B$8+1-N47,G47)-B47/100000</x:f>
        <x:v>17.5503939209822</x:v>
      </x:c>
      <x:c r="P47" s="72" t="n">
        <x:f>COUNTIF($O$44:$O$49,"&gt;"&amp;O47)+1</x:f>
        <x:v>3</x:v>
      </x:c>
      <x:c r="Q47" s="82" t="n">
        <x:f>MAX($G$44:$G$49)-G47</x:f>
        <x:v>3.2371301594120787</x:v>
      </x:c>
      <x:c r="R47" s="72" t="str">
        <x:f>INDEX(TrackMap!$B$8:$B$141,H47)</x:f>
        <x:v>西侧回弯</x:v>
      </x:c>
    </x:row>
    <x:row r="48" ht="20" customHeight="1">
      <x:c r="A48" s="72" t="n">
        <x:v>6</x:v>
      </x:c>
      <x:c r="B48" s="72" t="n">
        <x:v>5</x:v>
      </x:c>
      <x:c r="C48" s="72" t="str">
        <x:f>INDEX(Drivers!$B$8:$B$13,B48)</x:f>
        <x:v>青锋</x:v>
      </x:c>
      <x:c r="D48" s="82" t="n">
        <x:f>G42</x:f>
        <x:v>11.487074180252861</x:v>
      </x:c>
      <x:c r="E48" s="82" t="str">
        <x:f>IF(A48=0,"GRID",IF(D48&gt;=Control!$B$17,"FINISHED",IF(AND(A48&gt;=INDEX(Drivers!$G$8:$G$13,B48),A48&lt;INDEX(Drivers!$G$8:$G$13,B48)+INDEX(Drivers!$J$8:$J$13,B48)),"PIT",IF(MOD(A48+INDEX(Drivers!$F$8:$F$13,B48),Control!$B$11)&lt;Control!$B$13,"BOOST","RACE"))))</x:f>
        <x:v>RACE</x:v>
      </x:c>
      <x:c r="F48" s="82" t="n">
        <x:f>IF(OR(E48="GRID",E48="FINISHED",E48="PIT"),0,MAX(Control!$B$15,(INDEX(Drivers!$D$8:$D$13,B48)+INDEX(Drivers!$E$8:$E$13,B48)*SIN((A48+INDEX(Drivers!$F$8:$F$13,B48)+Control!$B$16)*Control!$B$14))*INDEX(TrackMap!$M$8:$M$141,MOD(INT(D48)-1,Control!$B$7)+1)*IF(E48="BOOST",Control!$B$12,1)))</x:f>
        <x:v>3.899478667078908</x:v>
      </x:c>
      <x:c r="G48" s="82" t="n">
        <x:f>IF(A48=0,D48,MIN(Control!$B$17,D48+F48))</x:f>
        <x:v>15.38655284733177</x:v>
      </x:c>
      <x:c r="H48" s="72" t="n">
        <x:f>MOD(INT(G48)-1,Control!$B$7)+1</x:f>
        <x:v>15</x:v>
      </x:c>
      <x:c r="I48" s="72" t="n">
        <x:f>MIN(Control!$B$6,MAX(1,INT(MAX(0,G48)/Control!$B$7)+1))</x:f>
        <x:v>1</x:v>
      </x:c>
      <x:c r="J48" s="72" t="n">
        <x:f>INDEX(Drivers!$H$8:$H$13,B48)</x:f>
        <x:v>1</x:v>
      </x:c>
      <x:c r="K48" s="72" t="n">
        <x:f>IF(J48=1,INDEX(TrackMap!$I$8:$I$141,H48),INDEX(TrackMap!$L$8:$L$141,H48))</x:f>
        <x:v>2703</x:v>
      </x:c>
      <x:c r="L48" s="72" t="str">
        <x:f>INDEX(TrackMap!$F$8:$F$141,H48)</x:f>
        <x:v>↑</x:v>
      </x:c>
      <x:c r="M48" s="86" t="n">
        <x:f>MAX(0,G48/Control!$B$17)</x:f>
        <x:v>0.02296500424974891</x:v>
      </x:c>
      <x:c r="N48" s="72" t="n">
        <x:f>IF(N42&gt;0,N42,IF(G48&gt;=Control!$B$17,A48,0))</x:f>
        <x:v>0</x:v>
      </x:c>
      <x:c r="O48" s="90" t="n">
        <x:f>IF(N48&gt;0,Control!$B$17+Control!$B$8+1-N48,G48)-B48/100000</x:f>
        <x:v>15.38650284733177</x:v>
      </x:c>
      <x:c r="P48" s="72" t="n">
        <x:f>COUNTIF($O$44:$O$49,"&gt;"&amp;O48)+1</x:f>
        <x:v>4</x:v>
      </x:c>
      <x:c r="Q48" s="82" t="n">
        <x:f>MAX($G$44:$G$49)-G48</x:f>
        <x:v>5.401011233062507</x:v>
      </x:c>
      <x:c r="R48" s="72" t="str">
        <x:f>INDEX(TrackMap!$B$8:$B$141,H48)</x:f>
        <x:v>西侧回弯</x:v>
      </x:c>
    </x:row>
    <x:row r="49" ht="20" customHeight="1">
      <x:c r="A49" s="72" t="n">
        <x:v>6</x:v>
      </x:c>
      <x:c r="B49" s="72" t="n">
        <x:v>6</x:v>
      </x:c>
      <x:c r="C49" s="72" t="str">
        <x:f>INDEX(Drivers!$B$8:$B$13,B49)</x:f>
        <x:v>玫速</x:v>
      </x:c>
      <x:c r="D49" s="82" t="n">
        <x:f>G43</x:f>
        <x:v>5.62148446052125</x:v>
      </x:c>
      <x:c r="E49" s="82" t="str">
        <x:f>IF(A49=0,"GRID",IF(D49&gt;=Control!$B$17,"FINISHED",IF(AND(A49&gt;=INDEX(Drivers!$G$8:$G$13,B49),A49&lt;INDEX(Drivers!$G$8:$G$13,B49)+INDEX(Drivers!$J$8:$J$13,B49)),"PIT",IF(MOD(A49+INDEX(Drivers!$F$8:$F$13,B49),Control!$B$11)&lt;Control!$B$13,"BOOST","RACE"))))</x:f>
        <x:v>RACE</x:v>
      </x:c>
      <x:c r="F49" s="82" t="n">
        <x:f>IF(OR(E49="GRID",E49="FINISHED",E49="PIT"),0,MAX(Control!$B$15,(INDEX(Drivers!$D$8:$D$13,B49)+INDEX(Drivers!$E$8:$E$13,B49)*SIN((A49+INDEX(Drivers!$F$8:$F$13,B49)+Control!$B$16)*Control!$B$14))*INDEX(TrackMap!$M$8:$M$141,MOD(INT(D49)-1,Control!$B$7)+1)*IF(E49="BOOST",Control!$B$12,1)))</x:f>
        <x:v>3.1462668687533086</x:v>
      </x:c>
      <x:c r="G49" s="82" t="n">
        <x:f>IF(A49=0,D49,MIN(Control!$B$17,D49+F49))</x:f>
        <x:v>8.767751329274558</x:v>
      </x:c>
      <x:c r="H49" s="72" t="n">
        <x:f>MOD(INT(G49)-1,Control!$B$7)+1</x:f>
        <x:v>8</x:v>
      </x:c>
      <x:c r="I49" s="72" t="n">
        <x:f>MIN(Control!$B$6,MAX(1,INT(MAX(0,G49)/Control!$B$7)+1))</x:f>
        <x:v>1</x:v>
      </x:c>
      <x:c r="J49" s="72" t="n">
        <x:f>INDEX(Drivers!$H$8:$H$13,B49)</x:f>
        <x:v>2</x:v>
      </x:c>
      <x:c r="K49" s="72" t="n">
        <x:f>IF(J49=1,INDEX(TrackMap!$I$8:$I$141,H49),INDEX(TrackMap!$L$8:$L$141,H49))</x:f>
        <x:v>3009</x:v>
      </x:c>
      <x:c r="L49" s="72" t="str">
        <x:f>INDEX(TrackMap!$F$8:$F$141,H49)</x:f>
        <x:v>←</x:v>
      </x:c>
      <x:c r="M49" s="86" t="n">
        <x:f>MAX(0,G49/Control!$B$17)</x:f>
        <x:v>0.013086196013842625</x:v>
      </x:c>
      <x:c r="N49" s="72" t="n">
        <x:f>IF(N43&gt;0,N43,IF(G49&gt;=Control!$B$17,A49,0))</x:f>
        <x:v>0</x:v>
      </x:c>
      <x:c r="O49" s="90" t="n">
        <x:f>IF(N49&gt;0,Control!$B$17+Control!$B$8+1-N49,G49)-B49/100000</x:f>
        <x:v>8.767691329274559</x:v>
      </x:c>
      <x:c r="P49" s="72" t="n">
        <x:f>COUNTIF($O$44:$O$49,"&gt;"&amp;O49)+1</x:f>
        <x:v>6</x:v>
      </x:c>
      <x:c r="Q49" s="82" t="n">
        <x:f>MAX($G$44:$G$49)-G49</x:f>
        <x:v>12.019812751119717</x:v>
      </x:c>
      <x:c r="R49" s="72" t="str">
        <x:f>INDEX(TrackMap!$B$8:$B$141,H49)</x:f>
        <x:v>发车大直道</x:v>
      </x:c>
    </x:row>
    <x:row r="50" ht="20" customHeight="1">
      <x:c r="A50" s="72" t="n">
        <x:v>7</x:v>
      </x:c>
      <x:c r="B50" s="72" t="n">
        <x:v>1</x:v>
      </x:c>
      <x:c r="C50" s="72" t="str">
        <x:f>INDEX(Drivers!$B$8:$B$13,B50)</x:f>
        <x:v>赤焰</x:v>
      </x:c>
      <x:c r="D50" s="82" t="n">
        <x:f>G44</x:f>
        <x:v>20.787564080394276</x:v>
      </x:c>
      <x:c r="E50" s="82" t="str">
        <x:f>IF(A50=0,"GRID",IF(D50&gt;=Control!$B$17,"FINISHED",IF(AND(A50&gt;=INDEX(Drivers!$G$8:$G$13,B50),A50&lt;INDEX(Drivers!$G$8:$G$13,B50)+INDEX(Drivers!$J$8:$J$13,B50)),"PIT",IF(MOD(A50+INDEX(Drivers!$F$8:$F$13,B50),Control!$B$11)&lt;Control!$B$13,"BOOST","RACE"))))</x:f>
        <x:v>RACE</x:v>
      </x:c>
      <x:c r="F50" s="82" t="n">
        <x:f>IF(OR(E50="GRID",E50="FINISHED",E50="PIT"),0,MAX(Control!$B$15,(INDEX(Drivers!$D$8:$D$13,B50)+INDEX(Drivers!$E$8:$E$13,B50)*SIN((A50+INDEX(Drivers!$F$8:$F$13,B50)+Control!$B$16)*Control!$B$14))*INDEX(TrackMap!$M$8:$M$141,MOD(INT(D50)-1,Control!$B$7)+1)*IF(E50="BOOST",Control!$B$12,1)))</x:f>
        <x:v>3.2744880387237174</x:v>
      </x:c>
      <x:c r="G50" s="82" t="n">
        <x:f>IF(A50=0,D50,MIN(Control!$B$17,D50+F50))</x:f>
        <x:v>24.062052119117993</x:v>
      </x:c>
      <x:c r="H50" s="72" t="n">
        <x:f>MOD(INT(G50)-1,Control!$B$7)+1</x:f>
        <x:v>24</x:v>
      </x:c>
      <x:c r="I50" s="72" t="n">
        <x:f>MIN(Control!$B$6,MAX(1,INT(MAX(0,G50)/Control!$B$7)+1))</x:f>
        <x:v>1</x:v>
      </x:c>
      <x:c r="J50" s="72" t="n">
        <x:f>INDEX(Drivers!$H$8:$H$13,B50)</x:f>
        <x:v>1</x:v>
      </x:c>
      <x:c r="K50" s="72" t="n">
        <x:f>IF(J50=1,INDEX(TrackMap!$I$8:$I$141,H50),INDEX(TrackMap!$L$8:$L$141,H50))</x:f>
        <x:v>2209</x:v>
      </x:c>
      <x:c r="L50" s="72" t="str">
        <x:f>INDEX(TrackMap!$F$8:$F$141,H50)</x:f>
        <x:v>→</x:v>
      </x:c>
      <x:c r="M50" s="86" t="n">
        <x:f>MAX(0,G50/Control!$B$17)</x:f>
        <x:v>0.03591351062554925</x:v>
      </x:c>
      <x:c r="N50" s="72" t="n">
        <x:f>IF(N44&gt;0,N44,IF(G50&gt;=Control!$B$17,A50,0))</x:f>
        <x:v>0</x:v>
      </x:c>
      <x:c r="O50" s="90" t="n">
        <x:f>IF(N50&gt;0,Control!$B$17+Control!$B$8+1-N50,G50)-B50/100000</x:f>
        <x:v>24.062042119117994</x:v>
      </x:c>
      <x:c r="P50" s="72" t="n">
        <x:f>COUNTIF($O$50:$O$55,"&gt;"&amp;O50)+1</x:f>
        <x:v>1</x:v>
      </x:c>
      <x:c r="Q50" s="82" t="n">
        <x:f>MAX($G$50:$G$55)-G50</x:f>
        <x:v>0</x:v>
      </x:c>
      <x:c r="R50" s="72" t="str">
        <x:f>INDEX(TrackMap!$B$8:$B$141,H50)</x:f>
        <x:v>短直道</x:v>
      </x:c>
    </x:row>
    <x:row r="51" ht="20" customHeight="1">
      <x:c r="A51" s="72" t="n">
        <x:v>7</x:v>
      </x:c>
      <x:c r="B51" s="72" t="n">
        <x:v>2</x:v>
      </x:c>
      <x:c r="C51" s="72" t="str">
        <x:f>INDEX(Drivers!$B$8:$B$13,B51)</x:f>
        <x:v>蓝电</x:v>
      </x:c>
      <x:c r="D51" s="82" t="n">
        <x:f>G45</x:f>
        <x:v>19.02970477539537</x:v>
      </x:c>
      <x:c r="E51" s="82" t="str">
        <x:f>IF(A51=0,"GRID",IF(D51&gt;=Control!$B$17,"FINISHED",IF(AND(A51&gt;=INDEX(Drivers!$G$8:$G$13,B51),A51&lt;INDEX(Drivers!$G$8:$G$13,B51)+INDEX(Drivers!$J$8:$J$13,B51)),"PIT",IF(MOD(A51+INDEX(Drivers!$F$8:$F$13,B51),Control!$B$11)&lt;Control!$B$13,"BOOST","RACE"))))</x:f>
        <x:v>RACE</x:v>
      </x:c>
      <x:c r="F51" s="82" t="n">
        <x:f>IF(OR(E51="GRID",E51="FINISHED",E51="PIT"),0,MAX(Control!$B$15,(INDEX(Drivers!$D$8:$D$13,B51)+INDEX(Drivers!$E$8:$E$13,B51)*SIN((A51+INDEX(Drivers!$F$8:$F$13,B51)+Control!$B$16)*Control!$B$14))*INDEX(TrackMap!$M$8:$M$141,MOD(INT(D51)-1,Control!$B$7)+1)*IF(E51="BOOST",Control!$B$12,1)))</x:f>
        <x:v>2.4157859344646977</x:v>
      </x:c>
      <x:c r="G51" s="82" t="n">
        <x:f>IF(A51=0,D51,MIN(Control!$B$17,D51+F51))</x:f>
        <x:v>21.445490709860067</x:v>
      </x:c>
      <x:c r="H51" s="72" t="n">
        <x:f>MOD(INT(G51)-1,Control!$B$7)+1</x:f>
        <x:v>21</x:v>
      </x:c>
      <x:c r="I51" s="72" t="n">
        <x:f>MIN(Control!$B$6,MAX(1,INT(MAX(0,G51)/Control!$B$7)+1))</x:f>
        <x:v>1</x:v>
      </x:c>
      <x:c r="J51" s="72" t="n">
        <x:f>INDEX(Drivers!$H$8:$H$13,B51)</x:f>
        <x:v>2</x:v>
      </x:c>
      <x:c r="K51" s="72" t="n">
        <x:f>IF(J51=1,INDEX(TrackMap!$I$8:$I$141,H51),INDEX(TrackMap!$L$8:$L$141,H51))</x:f>
        <x:v>2106</x:v>
      </x:c>
      <x:c r="L51" s="72" t="str">
        <x:f>INDEX(TrackMap!$F$8:$F$141,H51)</x:f>
        <x:v>→</x:v>
      </x:c>
      <x:c r="M51" s="86" t="n">
        <x:f>MAX(0,G51/Control!$B$17)</x:f>
        <x:v>0.03200819508934338</x:v>
      </x:c>
      <x:c r="N51" s="72" t="n">
        <x:f>IF(N45&gt;0,N45,IF(G51&gt;=Control!$B$17,A51,0))</x:f>
        <x:v>0</x:v>
      </x:c>
      <x:c r="O51" s="90" t="n">
        <x:f>IF(N51&gt;0,Control!$B$17+Control!$B$8+1-N51,G51)-B51/100000</x:f>
        <x:v>21.445470709860068</x:v>
      </x:c>
      <x:c r="P51" s="72" t="n">
        <x:f>COUNTIF($O$50:$O$55,"&gt;"&amp;O51)+1</x:f>
        <x:v>2</x:v>
      </x:c>
      <x:c r="Q51" s="82" t="n">
        <x:f>MAX($G$50:$G$55)-G51</x:f>
        <x:v>2.616561409257926</x:v>
      </x:c>
      <x:c r="R51" s="72" t="str">
        <x:f>INDEX(TrackMap!$B$8:$B$141,H51)</x:f>
        <x:v>短直道</x:v>
      </x:c>
    </x:row>
    <x:row r="52" ht="20" customHeight="1">
      <x:c r="A52" s="72" t="n">
        <x:v>7</x:v>
      </x:c>
      <x:c r="B52" s="72" t="n">
        <x:v>3</x:v>
      </x:c>
      <x:c r="C52" s="72" t="str">
        <x:f>INDEX(Drivers!$B$8:$B$13,B52)</x:f>
        <x:v>金翼</x:v>
      </x:c>
      <x:c r="D52" s="82" t="n">
        <x:f>G46</x:f>
        <x:v>14.855023515072734</x:v>
      </x:c>
      <x:c r="E52" s="82" t="str">
        <x:f>IF(A52=0,"GRID",IF(D52&gt;=Control!$B$17,"FINISHED",IF(AND(A52&gt;=INDEX(Drivers!$G$8:$G$13,B52),A52&lt;INDEX(Drivers!$G$8:$G$13,B52)+INDEX(Drivers!$J$8:$J$13,B52)),"PIT",IF(MOD(A52+INDEX(Drivers!$F$8:$F$13,B52),Control!$B$11)&lt;Control!$B$13,"BOOST","RACE"))))</x:f>
        <x:v>RACE</x:v>
      </x:c>
      <x:c r="F52" s="82" t="n">
        <x:f>IF(OR(E52="GRID",E52="FINISHED",E52="PIT"),0,MAX(Control!$B$15,(INDEX(Drivers!$D$8:$D$13,B52)+INDEX(Drivers!$E$8:$E$13,B52)*SIN((A52+INDEX(Drivers!$F$8:$F$13,B52)+Control!$B$16)*Control!$B$14))*INDEX(TrackMap!$M$8:$M$141,MOD(INT(D52)-1,Control!$B$7)+1)*IF(E52="BOOST",Control!$B$12,1)))</x:f>
        <x:v>3.0319725154468453</x:v>
      </x:c>
      <x:c r="G52" s="82" t="n">
        <x:f>IF(A52=0,D52,MIN(Control!$B$17,D52+F52))</x:f>
        <x:v>17.88699603051958</x:v>
      </x:c>
      <x:c r="H52" s="72" t="n">
        <x:f>MOD(INT(G52)-1,Control!$B$7)+1</x:f>
        <x:v>17</x:v>
      </x:c>
      <x:c r="I52" s="72" t="n">
        <x:f>MIN(Control!$B$6,MAX(1,INT(MAX(0,G52)/Control!$B$7)+1))</x:f>
        <x:v>1</x:v>
      </x:c>
      <x:c r="J52" s="72" t="n">
        <x:f>INDEX(Drivers!$H$8:$H$13,B52)</x:f>
        <x:v>1</x:v>
      </x:c>
      <x:c r="K52" s="72" t="n">
        <x:f>IF(J52=1,INDEX(TrackMap!$I$8:$I$141,H52),INDEX(TrackMap!$L$8:$L$141,H52))</x:f>
        <x:v>2503</x:v>
      </x:c>
      <x:c r="L52" s="72" t="str">
        <x:f>INDEX(TrackMap!$F$8:$F$141,H52)</x:f>
        <x:v>↑</x:v>
      </x:c>
      <x:c r="M52" s="86" t="n">
        <x:f>MAX(0,G52/Control!$B$17)</x:f>
        <x:v>0.02669700900077549</x:v>
      </x:c>
      <x:c r="N52" s="72" t="n">
        <x:f>IF(N46&gt;0,N46,IF(G52&gt;=Control!$B$17,A52,0))</x:f>
        <x:v>0</x:v>
      </x:c>
      <x:c r="O52" s="90" t="n">
        <x:f>IF(N52&gt;0,Control!$B$17+Control!$B$8+1-N52,G52)-B52/100000</x:f>
        <x:v>17.88696603051958</x:v>
      </x:c>
      <x:c r="P52" s="72" t="n">
        <x:f>COUNTIF($O$50:$O$55,"&gt;"&amp;O52)+1</x:f>
        <x:v>5</x:v>
      </x:c>
      <x:c r="Q52" s="82" t="n">
        <x:f>MAX($G$50:$G$55)-G52</x:f>
        <x:v>6.175056088598414</x:v>
      </x:c>
      <x:c r="R52" s="72" t="str">
        <x:f>INDEX(TrackMap!$B$8:$B$141,H52)</x:f>
        <x:v>西侧回弯</x:v>
      </x:c>
    </x:row>
    <x:row r="53" ht="20" customHeight="1">
      <x:c r="A53" s="72" t="n">
        <x:v>7</x:v>
      </x:c>
      <x:c r="B53" s="72" t="n">
        <x:v>4</x:v>
      </x:c>
      <x:c r="C53" s="72" t="str">
        <x:f>INDEX(Drivers!$B$8:$B$13,B53)</x:f>
        <x:v>紫影</x:v>
      </x:c>
      <x:c r="D53" s="82" t="n">
        <x:f>G47</x:f>
        <x:v>17.550433920982197</x:v>
      </x:c>
      <x:c r="E53" s="82" t="str">
        <x:f>IF(A53=0,"GRID",IF(D53&gt;=Control!$B$17,"FINISHED",IF(AND(A53&gt;=INDEX(Drivers!$G$8:$G$13,B53),A53&lt;INDEX(Drivers!$G$8:$G$13,B53)+INDEX(Drivers!$J$8:$J$13,B53)),"PIT",IF(MOD(A53+INDEX(Drivers!$F$8:$F$13,B53),Control!$B$11)&lt;Control!$B$13,"BOOST","RACE"))))</x:f>
        <x:v>BOOST</x:v>
      </x:c>
      <x:c r="F53" s="82" t="n">
        <x:f>IF(OR(E53="GRID",E53="FINISHED",E53="PIT"),0,MAX(Control!$B$15,(INDEX(Drivers!$D$8:$D$13,B53)+INDEX(Drivers!$E$8:$E$13,B53)*SIN((A53+INDEX(Drivers!$F$8:$F$13,B53)+Control!$B$16)*Control!$B$14))*INDEX(TrackMap!$M$8:$M$141,MOD(INT(D53)-1,Control!$B$7)+1)*IF(E53="BOOST",Control!$B$12,1)))</x:f>
        <x:v>3.8929002319770807</x:v>
      </x:c>
      <x:c r="G53" s="82" t="n">
        <x:f>IF(A53=0,D53,MIN(Control!$B$17,D53+F53))</x:f>
        <x:v>21.443334152959277</x:v>
      </x:c>
      <x:c r="H53" s="72" t="n">
        <x:f>MOD(INT(G53)-1,Control!$B$7)+1</x:f>
        <x:v>21</x:v>
      </x:c>
      <x:c r="I53" s="72" t="n">
        <x:f>MIN(Control!$B$6,MAX(1,INT(MAX(0,G53)/Control!$B$7)+1))</x:f>
        <x:v>1</x:v>
      </x:c>
      <x:c r="J53" s="72" t="n">
        <x:f>INDEX(Drivers!$H$8:$H$13,B53)</x:f>
        <x:v>2</x:v>
      </x:c>
      <x:c r="K53" s="72" t="n">
        <x:f>IF(J53=1,INDEX(TrackMap!$I$8:$I$141,H53),INDEX(TrackMap!$L$8:$L$141,H53))</x:f>
        <x:v>2106</x:v>
      </x:c>
      <x:c r="L53" s="72" t="str">
        <x:f>INDEX(TrackMap!$F$8:$F$141,H53)</x:f>
        <x:v>→</x:v>
      </x:c>
      <x:c r="M53" s="86" t="n">
        <x:f>MAX(0,G53/Control!$B$17)</x:f>
        <x:v>0.032004976347700415</x:v>
      </x:c>
      <x:c r="N53" s="72" t="n">
        <x:f>IF(N47&gt;0,N47,IF(G53&gt;=Control!$B$17,A53,0))</x:f>
        <x:v>0</x:v>
      </x:c>
      <x:c r="O53" s="90" t="n">
        <x:f>IF(N53&gt;0,Control!$B$17+Control!$B$8+1-N53,G53)-B53/100000</x:f>
        <x:v>21.44329415295928</x:v>
      </x:c>
      <x:c r="P53" s="72" t="n">
        <x:f>COUNTIF($O$50:$O$55,"&gt;"&amp;O53)+1</x:f>
        <x:v>3</x:v>
      </x:c>
      <x:c r="Q53" s="82" t="n">
        <x:f>MAX($G$50:$G$55)-G53</x:f>
        <x:v>2.618717966158716</x:v>
      </x:c>
      <x:c r="R53" s="72" t="str">
        <x:f>INDEX(TrackMap!$B$8:$B$141,H53)</x:f>
        <x:v>短直道</x:v>
      </x:c>
    </x:row>
    <x:row r="54" ht="20" customHeight="1">
      <x:c r="A54" s="72" t="n">
        <x:v>7</x:v>
      </x:c>
      <x:c r="B54" s="72" t="n">
        <x:v>5</x:v>
      </x:c>
      <x:c r="C54" s="72" t="str">
        <x:f>INDEX(Drivers!$B$8:$B$13,B54)</x:f>
        <x:v>青锋</x:v>
      </x:c>
      <x:c r="D54" s="82" t="n">
        <x:f>G48</x:f>
        <x:v>15.38655284733177</x:v>
      </x:c>
      <x:c r="E54" s="82" t="str">
        <x:f>IF(A54=0,"GRID",IF(D54&gt;=Control!$B$17,"FINISHED",IF(AND(A54&gt;=INDEX(Drivers!$G$8:$G$13,B54),A54&lt;INDEX(Drivers!$G$8:$G$13,B54)+INDEX(Drivers!$J$8:$J$13,B54)),"PIT",IF(MOD(A54+INDEX(Drivers!$F$8:$F$13,B54),Control!$B$11)&lt;Control!$B$13,"BOOST","RACE"))))</x:f>
        <x:v>RACE</x:v>
      </x:c>
      <x:c r="F54" s="82" t="n">
        <x:f>IF(OR(E54="GRID",E54="FINISHED",E54="PIT"),0,MAX(Control!$B$15,(INDEX(Drivers!$D$8:$D$13,B54)+INDEX(Drivers!$E$8:$E$13,B54)*SIN((A54+INDEX(Drivers!$F$8:$F$13,B54)+Control!$B$16)*Control!$B$14))*INDEX(TrackMap!$M$8:$M$141,MOD(INT(D54)-1,Control!$B$7)+1)*IF(E54="BOOST",Control!$B$12,1)))</x:f>
        <x:v>2.901929575270304</x:v>
      </x:c>
      <x:c r="G54" s="82" t="n">
        <x:f>IF(A54=0,D54,MIN(Control!$B$17,D54+F54))</x:f>
        <x:v>18.288482422602073</x:v>
      </x:c>
      <x:c r="H54" s="72" t="n">
        <x:f>MOD(INT(G54)-1,Control!$B$7)+1</x:f>
        <x:v>18</x:v>
      </x:c>
      <x:c r="I54" s="72" t="n">
        <x:f>MIN(Control!$B$6,MAX(1,INT(MAX(0,G54)/Control!$B$7)+1))</x:f>
        <x:v>1</x:v>
      </x:c>
      <x:c r="J54" s="72" t="n">
        <x:f>INDEX(Drivers!$H$8:$H$13,B54)</x:f>
        <x:v>1</x:v>
      </x:c>
      <x:c r="K54" s="72" t="n">
        <x:f>IF(J54=1,INDEX(TrackMap!$I$8:$I$141,H54),INDEX(TrackMap!$L$8:$L$141,H54))</x:f>
        <x:v>2403</x:v>
      </x:c>
      <x:c r="L54" s="72" t="str">
        <x:f>INDEX(TrackMap!$F$8:$F$141,H54)</x:f>
        <x:v>↑</x:v>
      </x:c>
      <x:c r="M54" s="86" t="n">
        <x:f>MAX(0,G54/Control!$B$17)</x:f>
        <x:v>0.02729624242179414</x:v>
      </x:c>
      <x:c r="N54" s="72" t="n">
        <x:f>IF(N48&gt;0,N48,IF(G54&gt;=Control!$B$17,A54,0))</x:f>
        <x:v>0</x:v>
      </x:c>
      <x:c r="O54" s="90" t="n">
        <x:f>IF(N54&gt;0,Control!$B$17+Control!$B$8+1-N54,G54)-B54/100000</x:f>
        <x:v>18.28843242260207</x:v>
      </x:c>
      <x:c r="P54" s="72" t="n">
        <x:f>COUNTIF($O$50:$O$55,"&gt;"&amp;O54)+1</x:f>
        <x:v>4</x:v>
      </x:c>
      <x:c r="Q54" s="82" t="n">
        <x:f>MAX($G$50:$G$55)-G54</x:f>
        <x:v>5.773569696515921</x:v>
      </x:c>
      <x:c r="R54" s="72" t="str">
        <x:f>INDEX(TrackMap!$B$8:$B$141,H54)</x:f>
        <x:v>西侧回弯</x:v>
      </x:c>
    </x:row>
    <x:row r="55" ht="20" customHeight="1">
      <x:c r="A55" s="72" t="n">
        <x:v>7</x:v>
      </x:c>
      <x:c r="B55" s="72" t="n">
        <x:v>6</x:v>
      </x:c>
      <x:c r="C55" s="72" t="str">
        <x:f>INDEX(Drivers!$B$8:$B$13,B55)</x:f>
        <x:v>玫速</x:v>
      </x:c>
      <x:c r="D55" s="82" t="n">
        <x:f>G49</x:f>
        <x:v>8.767751329274558</x:v>
      </x:c>
      <x:c r="E55" s="82" t="str">
        <x:f>IF(A55=0,"GRID",IF(D55&gt;=Control!$B$17,"FINISHED",IF(AND(A55&gt;=INDEX(Drivers!$G$8:$G$13,B55),A55&lt;INDEX(Drivers!$G$8:$G$13,B55)+INDEX(Drivers!$J$8:$J$13,B55)),"PIT",IF(MOD(A55+INDEX(Drivers!$F$8:$F$13,B55),Control!$B$11)&lt;Control!$B$13,"BOOST","RACE"))))</x:f>
        <x:v>RACE</x:v>
      </x:c>
      <x:c r="F55" s="82" t="n">
        <x:f>IF(OR(E55="GRID",E55="FINISHED",E55="PIT"),0,MAX(Control!$B$15,(INDEX(Drivers!$D$8:$D$13,B55)+INDEX(Drivers!$E$8:$E$13,B55)*SIN((A55+INDEX(Drivers!$F$8:$F$13,B55)+Control!$B$16)*Control!$B$14))*INDEX(TrackMap!$M$8:$M$141,MOD(INT(D55)-1,Control!$B$7)+1)*IF(E55="BOOST",Control!$B$12,1)))</x:f>
        <x:v>3.281503565887943</x:v>
      </x:c>
      <x:c r="G55" s="82" t="n">
        <x:f>IF(A55=0,D55,MIN(Control!$B$17,D55+F55))</x:f>
        <x:v>12.049254895162502</x:v>
      </x:c>
      <x:c r="H55" s="72" t="n">
        <x:f>MOD(INT(G55)-1,Control!$B$7)+1</x:f>
        <x:v>12</x:v>
      </x:c>
      <x:c r="I55" s="72" t="n">
        <x:f>MIN(Control!$B$6,MAX(1,INT(MAX(0,G55)/Control!$B$7)+1))</x:f>
        <x:v>1</x:v>
      </x:c>
      <x:c r="J55" s="72" t="n">
        <x:f>INDEX(Drivers!$H$8:$H$13,B55)</x:f>
        <x:v>2</x:v>
      </x:c>
      <x:c r="K55" s="72" t="n">
        <x:f>IF(J55=1,INDEX(TrackMap!$I$8:$I$141,H55),INDEX(TrackMap!$L$8:$L$141,H55))</x:f>
        <x:v>3005</x:v>
      </x:c>
      <x:c r="L55" s="72" t="str">
        <x:f>INDEX(TrackMap!$F$8:$F$141,H55)</x:f>
        <x:v>←</x:v>
      </x:c>
      <x:c r="M55" s="86" t="n">
        <x:f>MAX(0,G55/Control!$B$17)</x:f>
        <x:v>0.017983962530093288</x:v>
      </x:c>
      <x:c r="N55" s="72" t="n">
        <x:f>IF(N49&gt;0,N49,IF(G55&gt;=Control!$B$17,A55,0))</x:f>
        <x:v>0</x:v>
      </x:c>
      <x:c r="O55" s="90" t="n">
        <x:f>IF(N55&gt;0,Control!$B$17+Control!$B$8+1-N55,G55)-B55/100000</x:f>
        <x:v>12.049194895162502</x:v>
      </x:c>
      <x:c r="P55" s="72" t="n">
        <x:f>COUNTIF($O$50:$O$55,"&gt;"&amp;O55)+1</x:f>
        <x:v>6</x:v>
      </x:c>
      <x:c r="Q55" s="82" t="n">
        <x:f>MAX($G$50:$G$55)-G55</x:f>
        <x:v>12.012797223955491</x:v>
      </x:c>
      <x:c r="R55" s="72" t="str">
        <x:f>INDEX(TrackMap!$B$8:$B$141,H55)</x:f>
        <x:v>发车大直道</x:v>
      </x:c>
    </x:row>
    <x:row r="56" ht="20" customHeight="1">
      <x:c r="A56" s="72" t="n">
        <x:v>8</x:v>
      </x:c>
      <x:c r="B56" s="72" t="n">
        <x:v>1</x:v>
      </x:c>
      <x:c r="C56" s="72" t="str">
        <x:f>INDEX(Drivers!$B$8:$B$13,B56)</x:f>
        <x:v>赤焰</x:v>
      </x:c>
      <x:c r="D56" s="82" t="n">
        <x:f>G50</x:f>
        <x:v>24.062052119117993</x:v>
      </x:c>
      <x:c r="E56" s="82" t="str">
        <x:f>IF(A56=0,"GRID",IF(D56&gt;=Control!$B$17,"FINISHED",IF(AND(A56&gt;=INDEX(Drivers!$G$8:$G$13,B56),A56&lt;INDEX(Drivers!$G$8:$G$13,B56)+INDEX(Drivers!$J$8:$J$13,B56)),"PIT",IF(MOD(A56+INDEX(Drivers!$F$8:$F$13,B56),Control!$B$11)&lt;Control!$B$13,"BOOST","RACE"))))</x:f>
        <x:v>RACE</x:v>
      </x:c>
      <x:c r="F56" s="82" t="n">
        <x:f>IF(OR(E56="GRID",E56="FINISHED",E56="PIT"),0,MAX(Control!$B$15,(INDEX(Drivers!$D$8:$D$13,B56)+INDEX(Drivers!$E$8:$E$13,B56)*SIN((A56+INDEX(Drivers!$F$8:$F$13,B56)+Control!$B$16)*Control!$B$14))*INDEX(TrackMap!$M$8:$M$141,MOD(INT(D56)-1,Control!$B$7)+1)*IF(E56="BOOST",Control!$B$12,1)))</x:f>
        <x:v>3.258571803740039</x:v>
      </x:c>
      <x:c r="G56" s="82" t="n">
        <x:f>IF(A56=0,D56,MIN(Control!$B$17,D56+F56))</x:f>
        <x:v>27.320623922858033</x:v>
      </x:c>
      <x:c r="H56" s="72" t="n">
        <x:f>MOD(INT(G56)-1,Control!$B$7)+1</x:f>
        <x:v>27</x:v>
      </x:c>
      <x:c r="I56" s="72" t="n">
        <x:f>MIN(Control!$B$6,MAX(1,INT(MAX(0,G56)/Control!$B$7)+1))</x:f>
        <x:v>1</x:v>
      </x:c>
      <x:c r="J56" s="72" t="n">
        <x:f>INDEX(Drivers!$H$8:$H$13,B56)</x:f>
        <x:v>1</x:v>
      </x:c>
      <x:c r="K56" s="72" t="n">
        <x:f>IF(J56=1,INDEX(TrackMap!$I$8:$I$141,H56),INDEX(TrackMap!$L$8:$L$141,H56))</x:f>
        <x:v>1810</x:v>
      </x:c>
      <x:c r="L56" s="72" t="str">
        <x:f>INDEX(TrackMap!$F$8:$F$141,H56)</x:f>
        <x:v>↑</x:v>
      </x:c>
      <x:c r="M56" s="86" t="n">
        <x:f>MAX(0,G56/Control!$B$17)</x:f>
        <x:v>0.04077705063113139</x:v>
      </x:c>
      <x:c r="N56" s="72" t="n">
        <x:f>IF(N50&gt;0,N50,IF(G56&gt;=Control!$B$17,A56,0))</x:f>
        <x:v>0</x:v>
      </x:c>
      <x:c r="O56" s="90" t="n">
        <x:f>IF(N56&gt;0,Control!$B$17+Control!$B$8+1-N56,G56)-B56/100000</x:f>
        <x:v>27.320613922858033</x:v>
      </x:c>
      <x:c r="P56" s="72" t="n">
        <x:f>COUNTIF($O$56:$O$61,"&gt;"&amp;O56)+1</x:f>
        <x:v>1</x:v>
      </x:c>
      <x:c r="Q56" s="82" t="n">
        <x:f>MAX($G$56:$G$61)-G56</x:f>
        <x:v>0</x:v>
      </x:c>
      <x:c r="R56" s="72" t="str">
        <x:f>INDEX(TrackMap!$B$8:$B$141,H56)</x:f>
        <x:v>西侧上坡弯</x:v>
      </x:c>
    </x:row>
    <x:row r="57" ht="20" customHeight="1">
      <x:c r="A57" s="72" t="n">
        <x:v>8</x:v>
      </x:c>
      <x:c r="B57" s="72" t="n">
        <x:v>2</x:v>
      </x:c>
      <x:c r="C57" s="72" t="str">
        <x:f>INDEX(Drivers!$B$8:$B$13,B57)</x:f>
        <x:v>蓝电</x:v>
      </x:c>
      <x:c r="D57" s="82" t="n">
        <x:f>G51</x:f>
        <x:v>21.445490709860067</x:v>
      </x:c>
      <x:c r="E57" s="82" t="str">
        <x:f>IF(A57=0,"GRID",IF(D57&gt;=Control!$B$17,"FINISHED",IF(AND(A57&gt;=INDEX(Drivers!$G$8:$G$13,B57),A57&lt;INDEX(Drivers!$G$8:$G$13,B57)+INDEX(Drivers!$J$8:$J$13,B57)),"PIT",IF(MOD(A57+INDEX(Drivers!$F$8:$F$13,B57),Control!$B$11)&lt;Control!$B$13,"BOOST","RACE"))))</x:f>
        <x:v>RACE</x:v>
      </x:c>
      <x:c r="F57" s="82" t="n">
        <x:f>IF(OR(E57="GRID",E57="FINISHED",E57="PIT"),0,MAX(Control!$B$15,(INDEX(Drivers!$D$8:$D$13,B57)+INDEX(Drivers!$E$8:$E$13,B57)*SIN((A57+INDEX(Drivers!$F$8:$F$13,B57)+Control!$B$16)*Control!$B$14))*INDEX(TrackMap!$M$8:$M$141,MOD(INT(D57)-1,Control!$B$7)+1)*IF(E57="BOOST",Control!$B$12,1)))</x:f>
        <x:v>2.340807176522637</x:v>
      </x:c>
      <x:c r="G57" s="82" t="n">
        <x:f>IF(A57=0,D57,MIN(Control!$B$17,D57+F57))</x:f>
        <x:v>23.786297886382705</x:v>
      </x:c>
      <x:c r="H57" s="72" t="n">
        <x:f>MOD(INT(G57)-1,Control!$B$7)+1</x:f>
        <x:v>23</x:v>
      </x:c>
      <x:c r="I57" s="72" t="n">
        <x:f>MIN(Control!$B$6,MAX(1,INT(MAX(0,G57)/Control!$B$7)+1))</x:f>
        <x:v>1</x:v>
      </x:c>
      <x:c r="J57" s="72" t="n">
        <x:f>INDEX(Drivers!$H$8:$H$13,B57)</x:f>
        <x:v>2</x:v>
      </x:c>
      <x:c r="K57" s="72" t="n">
        <x:f>IF(J57=1,INDEX(TrackMap!$I$8:$I$141,H57),INDEX(TrackMap!$L$8:$L$141,H57))</x:f>
        <x:v>2108</x:v>
      </x:c>
      <x:c r="L57" s="72" t="str">
        <x:f>INDEX(TrackMap!$F$8:$F$141,H57)</x:f>
        <x:v>→</x:v>
      </x:c>
      <x:c r="M57" s="86" t="n">
        <x:f>MAX(0,G57/Control!$B$17)</x:f>
        <x:v>0.035501937143854786</x:v>
      </x:c>
      <x:c r="N57" s="72" t="n">
        <x:f>IF(N51&gt;0,N51,IF(G57&gt;=Control!$B$17,A57,0))</x:f>
        <x:v>0</x:v>
      </x:c>
      <x:c r="O57" s="90" t="n">
        <x:f>IF(N57&gt;0,Control!$B$17+Control!$B$8+1-N57,G57)-B57/100000</x:f>
        <x:v>23.786277886382706</x:v>
      </x:c>
      <x:c r="P57" s="72" t="n">
        <x:f>COUNTIF($O$56:$O$61,"&gt;"&amp;O57)+1</x:f>
        <x:v>3</x:v>
      </x:c>
      <x:c r="Q57" s="82" t="n">
        <x:f>MAX($G$56:$G$61)-G57</x:f>
        <x:v>3.5343260364753277</x:v>
      </x:c>
      <x:c r="R57" s="72" t="str">
        <x:f>INDEX(TrackMap!$B$8:$B$141,H57)</x:f>
        <x:v>短直道</x:v>
      </x:c>
    </x:row>
    <x:row r="58" ht="20" customHeight="1">
      <x:c r="A58" s="72" t="n">
        <x:v>8</x:v>
      </x:c>
      <x:c r="B58" s="72" t="n">
        <x:v>3</x:v>
      </x:c>
      <x:c r="C58" s="72" t="str">
        <x:f>INDEX(Drivers!$B$8:$B$13,B58)</x:f>
        <x:v>金翼</x:v>
      </x:c>
      <x:c r="D58" s="82" t="n">
        <x:f>G52</x:f>
        <x:v>17.88699603051958</x:v>
      </x:c>
      <x:c r="E58" s="82" t="str">
        <x:f>IF(A58=0,"GRID",IF(D58&gt;=Control!$B$17,"FINISHED",IF(AND(A58&gt;=INDEX(Drivers!$G$8:$G$13,B58),A58&lt;INDEX(Drivers!$G$8:$G$13,B58)+INDEX(Drivers!$J$8:$J$13,B58)),"PIT",IF(MOD(A58+INDEX(Drivers!$F$8:$F$13,B58),Control!$B$11)&lt;Control!$B$13,"BOOST","RACE"))))</x:f>
        <x:v>RACE</x:v>
      </x:c>
      <x:c r="F58" s="82" t="n">
        <x:f>IF(OR(E58="GRID",E58="FINISHED",E58="PIT"),0,MAX(Control!$B$15,(INDEX(Drivers!$D$8:$D$13,B58)+INDEX(Drivers!$E$8:$E$13,B58)*SIN((A58+INDEX(Drivers!$F$8:$F$13,B58)+Control!$B$16)*Control!$B$14))*INDEX(TrackMap!$M$8:$M$141,MOD(INT(D58)-1,Control!$B$7)+1)*IF(E58="BOOST",Control!$B$12,1)))</x:f>
        <x:v>3.1528730398813254</x:v>
      </x:c>
      <x:c r="G58" s="82" t="n">
        <x:f>IF(A58=0,D58,MIN(Control!$B$17,D58+F58))</x:f>
        <x:v>21.039869070400904</x:v>
      </x:c>
      <x:c r="H58" s="72" t="n">
        <x:f>MOD(INT(G58)-1,Control!$B$7)+1</x:f>
        <x:v>21</x:v>
      </x:c>
      <x:c r="I58" s="72" t="n">
        <x:f>MIN(Control!$B$6,MAX(1,INT(MAX(0,G58)/Control!$B$7)+1))</x:f>
        <x:v>1</x:v>
      </x:c>
      <x:c r="J58" s="72" t="n">
        <x:f>INDEX(Drivers!$H$8:$H$13,B58)</x:f>
        <x:v>1</x:v>
      </x:c>
      <x:c r="K58" s="72" t="n">
        <x:f>IF(J58=1,INDEX(TrackMap!$I$8:$I$141,H58),INDEX(TrackMap!$L$8:$L$141,H58))</x:f>
        <x:v>2206</x:v>
      </x:c>
      <x:c r="L58" s="72" t="str">
        <x:f>INDEX(TrackMap!$F$8:$F$141,H58)</x:f>
        <x:v>→</x:v>
      </x:c>
      <x:c r="M58" s="86" t="n">
        <x:f>MAX(0,G58/Control!$B$17)</x:f>
        <x:v>0.03140278965731478</x:v>
      </x:c>
      <x:c r="N58" s="72" t="n">
        <x:f>IF(N52&gt;0,N52,IF(G58&gt;=Control!$B$17,A58,0))</x:f>
        <x:v>0</x:v>
      </x:c>
      <x:c r="O58" s="90" t="n">
        <x:f>IF(N58&gt;0,Control!$B$17+Control!$B$8+1-N58,G58)-B58/100000</x:f>
        <x:v>21.039839070400905</x:v>
      </x:c>
      <x:c r="P58" s="72" t="n">
        <x:f>COUNTIF($O$56:$O$61,"&gt;"&amp;O58)+1</x:f>
        <x:v>5</x:v>
      </x:c>
      <x:c r="Q58" s="82" t="n">
        <x:f>MAX($G$56:$G$61)-G58</x:f>
        <x:v>6.280754852457129</x:v>
      </x:c>
      <x:c r="R58" s="72" t="str">
        <x:f>INDEX(TrackMap!$B$8:$B$141,H58)</x:f>
        <x:v>短直道</x:v>
      </x:c>
    </x:row>
    <x:row r="59" ht="20" customHeight="1">
      <x:c r="A59" s="72" t="n">
        <x:v>8</x:v>
      </x:c>
      <x:c r="B59" s="72" t="n">
        <x:v>4</x:v>
      </x:c>
      <x:c r="C59" s="72" t="str">
        <x:f>INDEX(Drivers!$B$8:$B$13,B59)</x:f>
        <x:v>紫影</x:v>
      </x:c>
      <x:c r="D59" s="82" t="n">
        <x:f>G53</x:f>
        <x:v>21.443334152959277</x:v>
      </x:c>
      <x:c r="E59" s="82" t="str">
        <x:f>IF(A59=0,"GRID",IF(D59&gt;=Control!$B$17,"FINISHED",IF(AND(A59&gt;=INDEX(Drivers!$G$8:$G$13,B59),A59&lt;INDEX(Drivers!$G$8:$G$13,B59)+INDEX(Drivers!$J$8:$J$13,B59)),"PIT",IF(MOD(A59+INDEX(Drivers!$F$8:$F$13,B59),Control!$B$11)&lt;Control!$B$13,"BOOST","RACE"))))</x:f>
        <x:v>BOOST</x:v>
      </x:c>
      <x:c r="F59" s="82" t="n">
        <x:f>IF(OR(E59="GRID",E59="FINISHED",E59="PIT"),0,MAX(Control!$B$15,(INDEX(Drivers!$D$8:$D$13,B59)+INDEX(Drivers!$E$8:$E$13,B59)*SIN((A59+INDEX(Drivers!$F$8:$F$13,B59)+Control!$B$16)*Control!$B$14))*INDEX(TrackMap!$M$8:$M$141,MOD(INT(D59)-1,Control!$B$7)+1)*IF(E59="BOOST",Control!$B$12,1)))</x:f>
        <x:v>3.668245827143988</x:v>
      </x:c>
      <x:c r="G59" s="82" t="n">
        <x:f>IF(A59=0,D59,MIN(Control!$B$17,D59+F59))</x:f>
        <x:v>25.111579980103265</x:v>
      </x:c>
      <x:c r="H59" s="72" t="n">
        <x:f>MOD(INT(G59)-1,Control!$B$7)+1</x:f>
        <x:v>25</x:v>
      </x:c>
      <x:c r="I59" s="72" t="n">
        <x:f>MIN(Control!$B$6,MAX(1,INT(MAX(0,G59)/Control!$B$7)+1))</x:f>
        <x:v>1</x:v>
      </x:c>
      <x:c r="J59" s="72" t="n">
        <x:f>INDEX(Drivers!$H$8:$H$13,B59)</x:f>
        <x:v>2</x:v>
      </x:c>
      <x:c r="K59" s="72" t="n">
        <x:f>IF(J59=1,INDEX(TrackMap!$I$8:$I$141,H59),INDEX(TrackMap!$L$8:$L$141,H59))</x:f>
        <x:v>2010</x:v>
      </x:c>
      <x:c r="L59" s="72" t="str">
        <x:f>INDEX(TrackMap!$F$8:$F$141,H59)</x:f>
        <x:v>↑</x:v>
      </x:c>
      <x:c r="M59" s="86" t="n">
        <x:f>MAX(0,G59/Control!$B$17)</x:f>
        <x:v>0.03747997011955711</x:v>
      </x:c>
      <x:c r="N59" s="72" t="n">
        <x:f>IF(N53&gt;0,N53,IF(G59&gt;=Control!$B$17,A59,0))</x:f>
        <x:v>0</x:v>
      </x:c>
      <x:c r="O59" s="90" t="n">
        <x:f>IF(N59&gt;0,Control!$B$17+Control!$B$8+1-N59,G59)-B59/100000</x:f>
        <x:v>25.111539980103267</x:v>
      </x:c>
      <x:c r="P59" s="72" t="n">
        <x:f>COUNTIF($O$56:$O$61,"&gt;"&amp;O59)+1</x:f>
        <x:v>2</x:v>
      </x:c>
      <x:c r="Q59" s="82" t="n">
        <x:f>MAX($G$56:$G$61)-G59</x:f>
        <x:v>2.209043942754768</x:v>
      </x:c>
      <x:c r="R59" s="72" t="str">
        <x:f>INDEX(TrackMap!$B$8:$B$141,H59)</x:f>
        <x:v>西侧上坡弯</x:v>
      </x:c>
    </x:row>
    <x:row r="60" ht="20" customHeight="1">
      <x:c r="A60" s="72" t="n">
        <x:v>8</x:v>
      </x:c>
      <x:c r="B60" s="72" t="n">
        <x:v>5</x:v>
      </x:c>
      <x:c r="C60" s="72" t="str">
        <x:f>INDEX(Drivers!$B$8:$B$13,B60)</x:f>
        <x:v>青锋</x:v>
      </x:c>
      <x:c r="D60" s="82" t="n">
        <x:f>G54</x:f>
        <x:v>18.288482422602073</x:v>
      </x:c>
      <x:c r="E60" s="82" t="str">
        <x:f>IF(A60=0,"GRID",IF(D60&gt;=Control!$B$17,"FINISHED",IF(AND(A60&gt;=INDEX(Drivers!$G$8:$G$13,B60),A60&lt;INDEX(Drivers!$G$8:$G$13,B60)+INDEX(Drivers!$J$8:$J$13,B60)),"PIT",IF(MOD(A60+INDEX(Drivers!$F$8:$F$13,B60),Control!$B$11)&lt;Control!$B$13,"BOOST","RACE"))))</x:f>
        <x:v>RACE</x:v>
      </x:c>
      <x:c r="F60" s="82" t="n">
        <x:f>IF(OR(E60="GRID",E60="FINISHED",E60="PIT"),0,MAX(Control!$B$15,(INDEX(Drivers!$D$8:$D$13,B60)+INDEX(Drivers!$E$8:$E$13,B60)*SIN((A60+INDEX(Drivers!$F$8:$F$13,B60)+Control!$B$16)*Control!$B$14))*INDEX(TrackMap!$M$8:$M$141,MOD(INT(D60)-1,Control!$B$7)+1)*IF(E60="BOOST",Control!$B$12,1)))</x:f>
        <x:v>2.7527199430754195</x:v>
      </x:c>
      <x:c r="G60" s="82" t="n">
        <x:f>IF(A60=0,D60,MIN(Control!$B$17,D60+F60))</x:f>
        <x:v>21.041202365677492</x:v>
      </x:c>
      <x:c r="H60" s="72" t="n">
        <x:f>MOD(INT(G60)-1,Control!$B$7)+1</x:f>
        <x:v>21</x:v>
      </x:c>
      <x:c r="I60" s="72" t="n">
        <x:f>MIN(Control!$B$6,MAX(1,INT(MAX(0,G60)/Control!$B$7)+1))</x:f>
        <x:v>1</x:v>
      </x:c>
      <x:c r="J60" s="72" t="n">
        <x:f>INDEX(Drivers!$H$8:$H$13,B60)</x:f>
        <x:v>1</x:v>
      </x:c>
      <x:c r="K60" s="72" t="n">
        <x:f>IF(J60=1,INDEX(TrackMap!$I$8:$I$141,H60),INDEX(TrackMap!$L$8:$L$141,H60))</x:f>
        <x:v>2206</x:v>
      </x:c>
      <x:c r="L60" s="72" t="str">
        <x:f>INDEX(TrackMap!$F$8:$F$141,H60)</x:f>
        <x:v>→</x:v>
      </x:c>
      <x:c r="M60" s="86" t="n">
        <x:f>MAX(0,G60/Control!$B$17)</x:f>
        <x:v>0.03140477965026491</x:v>
      </x:c>
      <x:c r="N60" s="72" t="n">
        <x:f>IF(N54&gt;0,N54,IF(G60&gt;=Control!$B$17,A60,0))</x:f>
        <x:v>0</x:v>
      </x:c>
      <x:c r="O60" s="90" t="n">
        <x:f>IF(N60&gt;0,Control!$B$17+Control!$B$8+1-N60,G60)-B60/100000</x:f>
        <x:v>21.04115236567749</x:v>
      </x:c>
      <x:c r="P60" s="72" t="n">
        <x:f>COUNTIF($O$56:$O$61,"&gt;"&amp;O60)+1</x:f>
        <x:v>4</x:v>
      </x:c>
      <x:c r="Q60" s="82" t="n">
        <x:f>MAX($G$56:$G$61)-G60</x:f>
        <x:v>6.279421557180541</x:v>
      </x:c>
      <x:c r="R60" s="72" t="str">
        <x:f>INDEX(TrackMap!$B$8:$B$141,H60)</x:f>
        <x:v>短直道</x:v>
      </x:c>
    </x:row>
    <x:row r="61" ht="20" customHeight="1">
      <x:c r="A61" s="73" t="n">
        <x:v>8</x:v>
      </x:c>
      <x:c r="B61" s="73" t="n">
        <x:v>6</x:v>
      </x:c>
      <x:c r="C61" s="73" t="str">
        <x:f>INDEX(Drivers!$B$8:$B$13,B61)</x:f>
        <x:v>玫速</x:v>
      </x:c>
      <x:c r="D61" s="83" t="n">
        <x:f>G55</x:f>
        <x:v>12.049254895162502</x:v>
      </x:c>
      <x:c r="E61" s="83" t="str">
        <x:f>IF(A61=0,"GRID",IF(D61&gt;=Control!$B$17,"FINISHED",IF(AND(A61&gt;=INDEX(Drivers!$G$8:$G$13,B61),A61&lt;INDEX(Drivers!$G$8:$G$13,B61)+INDEX(Drivers!$J$8:$J$13,B61)),"PIT",IF(MOD(A61+INDEX(Drivers!$F$8:$F$13,B61),Control!$B$11)&lt;Control!$B$13,"BOOST","RACE"))))</x:f>
        <x:v>RACE</x:v>
      </x:c>
      <x:c r="F61" s="83" t="n">
        <x:f>IF(OR(E61="GRID",E61="FINISHED",E61="PIT"),0,MAX(Control!$B$15,(INDEX(Drivers!$D$8:$D$13,B61)+INDEX(Drivers!$E$8:$E$13,B61)*SIN((A61+INDEX(Drivers!$F$8:$F$13,B61)+Control!$B$16)*Control!$B$14))*INDEX(TrackMap!$M$8:$M$141,MOD(INT(D61)-1,Control!$B$7)+1)*IF(E61="BOOST",Control!$B$12,1)))</x:f>
        <x:v>2.7071264110397233</x:v>
      </x:c>
      <x:c r="G61" s="83" t="n">
        <x:f>IF(A61=0,D61,MIN(Control!$B$17,D61+F61))</x:f>
        <x:v>14.756381306202226</x:v>
      </x:c>
      <x:c r="H61" s="73" t="n">
        <x:f>MOD(INT(G61)-1,Control!$B$7)+1</x:f>
        <x:v>14</x:v>
      </x:c>
      <x:c r="I61" s="73" t="n">
        <x:f>MIN(Control!$B$6,MAX(1,INT(MAX(0,G61)/Control!$B$7)+1))</x:f>
        <x:v>1</x:v>
      </x:c>
      <x:c r="J61" s="73" t="n">
        <x:f>INDEX(Drivers!$H$8:$H$13,B61)</x:f>
        <x:v>2</x:v>
      </x:c>
      <x:c r="K61" s="73" t="n">
        <x:f>IF(J61=1,INDEX(TrackMap!$I$8:$I$141,H61),INDEX(TrackMap!$L$8:$L$141,H61))</x:f>
        <x:v>2804</x:v>
      </x:c>
      <x:c r="L61" s="73" t="str">
        <x:f>INDEX(TrackMap!$F$8:$F$141,H61)</x:f>
        <x:v>↑</x:v>
      </x:c>
      <x:c r="M61" s="87" t="n">
        <x:f>MAX(0,G61/Control!$B$17)</x:f>
        <x:v>0.02202444971074959</x:v>
      </x:c>
      <x:c r="N61" s="73" t="n">
        <x:f>IF(N55&gt;0,N55,IF(G61&gt;=Control!$B$17,A61,0))</x:f>
        <x:v>0</x:v>
      </x:c>
      <x:c r="O61" s="91" t="n">
        <x:f>IF(N61&gt;0,Control!$B$17+Control!$B$8+1-N61,G61)-B61/100000</x:f>
        <x:v>14.756321306202226</x:v>
      </x:c>
      <x:c r="P61" s="73" t="n">
        <x:f>COUNTIF($O$56:$O$61,"&gt;"&amp;O61)+1</x:f>
        <x:v>6</x:v>
      </x:c>
      <x:c r="Q61" s="83" t="n">
        <x:f>MAX($G$56:$G$61)-G61</x:f>
        <x:v>12.564242616655807</x:v>
      </x:c>
      <x:c r="R61" s="73" t="str">
        <x:f>INDEX(TrackMap!$B$8:$B$141,H61)</x:f>
        <x:v>西侧回弯</x:v>
      </x:c>
    </x:row>
    <x:row r="62" ht="20" customHeight="1">
      <x:c r="A62" s="73" t="n">
        <x:v>9</x:v>
      </x:c>
      <x:c r="B62" s="73" t="n">
        <x:v>1</x:v>
      </x:c>
      <x:c r="C62" s="73" t="str">
        <x:f>INDEX(Drivers!$B$8:$B$13,B62)</x:f>
        <x:v>赤焰</x:v>
      </x:c>
      <x:c r="D62" s="83" t="n">
        <x:f>G56</x:f>
        <x:v>27.320623922858033</x:v>
      </x:c>
      <x:c r="E62" s="83" t="str">
        <x:f>IF(A62=0,"GRID",IF(D62&gt;=Control!$B$17,"FINISHED",IF(AND(A62&gt;=INDEX(Drivers!$G$8:$G$13,B62),A62&lt;INDEX(Drivers!$G$8:$G$13,B62)+INDEX(Drivers!$J$8:$J$13,B62)),"PIT",IF(MOD(A62+INDEX(Drivers!$F$8:$F$13,B62),Control!$B$11)&lt;Control!$B$13,"BOOST","RACE"))))</x:f>
        <x:v>RACE</x:v>
      </x:c>
      <x:c r="F62" s="83" t="n">
        <x:f>IF(OR(E62="GRID",E62="FINISHED",E62="PIT"),0,MAX(Control!$B$15,(INDEX(Drivers!$D$8:$D$13,B62)+INDEX(Drivers!$E$8:$E$13,B62)*SIN((A62+INDEX(Drivers!$F$8:$F$13,B62)+Control!$B$16)*Control!$B$14))*INDEX(TrackMap!$M$8:$M$141,MOD(INT(D62)-1,Control!$B$7)+1)*IF(E62="BOOST",Control!$B$12,1)))</x:f>
        <x:v>3.1869512558907584</x:v>
      </x:c>
      <x:c r="G62" s="83" t="n">
        <x:f>IF(A62=0,D62,MIN(Control!$B$17,D62+F62))</x:f>
        <x:v>30.50757517874879</x:v>
      </x:c>
      <x:c r="H62" s="73" t="n">
        <x:f>MOD(INT(G62)-1,Control!$B$7)+1</x:f>
        <x:v>30</x:v>
      </x:c>
      <x:c r="I62" s="73" t="n">
        <x:f>MIN(Control!$B$6,MAX(1,INT(MAX(0,G62)/Control!$B$7)+1))</x:f>
        <x:v>1</x:v>
      </x:c>
      <x:c r="J62" s="73" t="n">
        <x:f>INDEX(Drivers!$H$8:$H$13,B62)</x:f>
        <x:v>1</x:v>
      </x:c>
      <x:c r="K62" s="73" t="n">
        <x:f>IF(J62=1,INDEX(TrackMap!$I$8:$I$141,H62),INDEX(TrackMap!$L$8:$L$141,H62))</x:f>
        <x:v>1510</x:v>
      </x:c>
      <x:c r="L62" s="73" t="str">
        <x:f>INDEX(TrackMap!$F$8:$F$141,H62)</x:f>
        <x:v>↑</x:v>
      </x:c>
      <x:c r="M62" s="87" t="n">
        <x:f>MAX(0,G62/Control!$B$17)</x:f>
        <x:v>0.04553369429663999</x:v>
      </x:c>
      <x:c r="N62" s="73" t="n">
        <x:f>IF(N56&gt;0,N56,IF(G62&gt;=Control!$B$17,A62,0))</x:f>
        <x:v>0</x:v>
      </x:c>
      <x:c r="O62" s="91" t="n">
        <x:f>IF(N62&gt;0,Control!$B$17+Control!$B$8+1-N62,G62)-B62/100000</x:f>
        <x:v>30.50756517874879</x:v>
      </x:c>
      <x:c r="P62" s="73" t="n">
        <x:f>COUNTIF($O$62:$O$67,"&gt;"&amp;O62)+1</x:f>
        <x:v>1</x:v>
      </x:c>
      <x:c r="Q62" s="83" t="n">
        <x:f>MAX($G$62:$G$67)-G62</x:f>
        <x:v>0</x:v>
      </x:c>
      <x:c r="R62" s="73" t="str">
        <x:f>INDEX(TrackMap!$B$8:$B$141,H62)</x:f>
        <x:v>西侧上坡弯</x:v>
      </x:c>
    </x:row>
    <x:row r="63" ht="20" customHeight="1">
      <x:c r="A63" s="73" t="n">
        <x:v>9</x:v>
      </x:c>
      <x:c r="B63" s="73" t="n">
        <x:v>2</x:v>
      </x:c>
      <x:c r="C63" s="73" t="str">
        <x:f>INDEX(Drivers!$B$8:$B$13,B63)</x:f>
        <x:v>蓝电</x:v>
      </x:c>
      <x:c r="D63" s="83" t="n">
        <x:f>G57</x:f>
        <x:v>23.786297886382705</x:v>
      </x:c>
      <x:c r="E63" s="83" t="str">
        <x:f>IF(A63=0,"GRID",IF(D63&gt;=Control!$B$17,"FINISHED",IF(AND(A63&gt;=INDEX(Drivers!$G$8:$G$13,B63),A63&lt;INDEX(Drivers!$G$8:$G$13,B63)+INDEX(Drivers!$J$8:$J$13,B63)),"PIT",IF(MOD(A63+INDEX(Drivers!$F$8:$F$13,B63),Control!$B$11)&lt;Control!$B$13,"BOOST","RACE"))))</x:f>
        <x:v>RACE</x:v>
      </x:c>
      <x:c r="F63" s="83" t="n">
        <x:f>IF(OR(E63="GRID",E63="FINISHED",E63="PIT"),0,MAX(Control!$B$15,(INDEX(Drivers!$D$8:$D$13,B63)+INDEX(Drivers!$E$8:$E$13,B63)*SIN((A63+INDEX(Drivers!$F$8:$F$13,B63)+Control!$B$16)*Control!$B$14))*INDEX(TrackMap!$M$8:$M$141,MOD(INT(D63)-1,Control!$B$7)+1)*IF(E63="BOOST",Control!$B$12,1)))</x:f>
        <x:v>2.9832684470776067</x:v>
      </x:c>
      <x:c r="G63" s="83" t="n">
        <x:f>IF(A63=0,D63,MIN(Control!$B$17,D63+F63))</x:f>
        <x:v>26.76956633346031</x:v>
      </x:c>
      <x:c r="H63" s="73" t="n">
        <x:f>MOD(INT(G63)-1,Control!$B$7)+1</x:f>
        <x:v>26</x:v>
      </x:c>
      <x:c r="I63" s="73" t="n">
        <x:f>MIN(Control!$B$6,MAX(1,INT(MAX(0,G63)/Control!$B$7)+1))</x:f>
        <x:v>1</x:v>
      </x:c>
      <x:c r="J63" s="73" t="n">
        <x:f>INDEX(Drivers!$H$8:$H$13,B63)</x:f>
        <x:v>2</x:v>
      </x:c>
      <x:c r="K63" s="73" t="n">
        <x:f>IF(J63=1,INDEX(TrackMap!$I$8:$I$141,H63),INDEX(TrackMap!$L$8:$L$141,H63))</x:f>
        <x:v>1911</x:v>
      </x:c>
      <x:c r="L63" s="73" t="str">
        <x:f>INDEX(TrackMap!$F$8:$F$141,H63)</x:f>
        <x:v>↑</x:v>
      </x:c>
      <x:c r="M63" s="87" t="n">
        <x:f>MAX(0,G63/Control!$B$17)</x:f>
        <x:v>0.03995457661710494</x:v>
      </x:c>
      <x:c r="N63" s="73" t="n">
        <x:f>IF(N57&gt;0,N57,IF(G63&gt;=Control!$B$17,A63,0))</x:f>
        <x:v>0</x:v>
      </x:c>
      <x:c r="O63" s="91" t="n">
        <x:f>IF(N63&gt;0,Control!$B$17+Control!$B$8+1-N63,G63)-B63/100000</x:f>
        <x:v>26.769546333460312</x:v>
      </x:c>
      <x:c r="P63" s="73" t="n">
        <x:f>COUNTIF($O$62:$O$67,"&gt;"&amp;O63)+1</x:f>
        <x:v>3</x:v>
      </x:c>
      <x:c r="Q63" s="83" t="n">
        <x:f>MAX($G$62:$G$67)-G63</x:f>
        <x:v>3.73800884528848</x:v>
      </x:c>
      <x:c r="R63" s="73" t="str">
        <x:f>INDEX(TrackMap!$B$8:$B$141,H63)</x:f>
        <x:v>西侧上坡弯</x:v>
      </x:c>
    </x:row>
    <x:row r="64" ht="20" customHeight="1">
      <x:c r="A64" s="73" t="n">
        <x:v>9</x:v>
      </x:c>
      <x:c r="B64" s="73" t="n">
        <x:v>3</x:v>
      </x:c>
      <x:c r="C64" s="73" t="str">
        <x:f>INDEX(Drivers!$B$8:$B$13,B64)</x:f>
        <x:v>金翼</x:v>
      </x:c>
      <x:c r="D64" s="83" t="n">
        <x:f>G58</x:f>
        <x:v>21.039869070400904</x:v>
      </x:c>
      <x:c r="E64" s="83" t="str">
        <x:f>IF(A64=0,"GRID",IF(D64&gt;=Control!$B$17,"FINISHED",IF(AND(A64&gt;=INDEX(Drivers!$G$8:$G$13,B64),A64&lt;INDEX(Drivers!$G$8:$G$13,B64)+INDEX(Drivers!$J$8:$J$13,B64)),"PIT",IF(MOD(A64+INDEX(Drivers!$F$8:$F$13,B64),Control!$B$11)&lt;Control!$B$13,"BOOST","RACE"))))</x:f>
        <x:v>RACE</x:v>
      </x:c>
      <x:c r="F64" s="83" t="n">
        <x:f>IF(OR(E64="GRID",E64="FINISHED",E64="PIT"),0,MAX(Control!$B$15,(INDEX(Drivers!$D$8:$D$13,B64)+INDEX(Drivers!$E$8:$E$13,B64)*SIN((A64+INDEX(Drivers!$F$8:$F$13,B64)+Control!$B$16)*Control!$B$14))*INDEX(TrackMap!$M$8:$M$141,MOD(INT(D64)-1,Control!$B$7)+1)*IF(E64="BOOST",Control!$B$12,1)))</x:f>
        <x:v>3.2376535503258923</x:v>
      </x:c>
      <x:c r="G64" s="83" t="n">
        <x:f>IF(A64=0,D64,MIN(Control!$B$17,D64+F64))</x:f>
        <x:v>24.277522620726796</x:v>
      </x:c>
      <x:c r="H64" s="73" t="n">
        <x:f>MOD(INT(G64)-1,Control!$B$7)+1</x:f>
        <x:v>24</x:v>
      </x:c>
      <x:c r="I64" s="73" t="n">
        <x:f>MIN(Control!$B$6,MAX(1,INT(MAX(0,G64)/Control!$B$7)+1))</x:f>
        <x:v>1</x:v>
      </x:c>
      <x:c r="J64" s="73" t="n">
        <x:f>INDEX(Drivers!$H$8:$H$13,B64)</x:f>
        <x:v>1</x:v>
      </x:c>
      <x:c r="K64" s="73" t="n">
        <x:f>IF(J64=1,INDEX(TrackMap!$I$8:$I$141,H64),INDEX(TrackMap!$L$8:$L$141,H64))</x:f>
        <x:v>2209</x:v>
      </x:c>
      <x:c r="L64" s="73" t="str">
        <x:f>INDEX(TrackMap!$F$8:$F$141,H64)</x:f>
        <x:v>→</x:v>
      </x:c>
      <x:c r="M64" s="87" t="n">
        <x:f>MAX(0,G64/Control!$B$17)</x:f>
        <x:v>0.03623510838914447</x:v>
      </x:c>
      <x:c r="N64" s="73" t="n">
        <x:f>IF(N58&gt;0,N58,IF(G64&gt;=Control!$B$17,A64,0))</x:f>
        <x:v>0</x:v>
      </x:c>
      <x:c r="O64" s="91" t="n">
        <x:f>IF(N64&gt;0,Control!$B$17+Control!$B$8+1-N64,G64)-B64/100000</x:f>
        <x:v>24.277492620726797</x:v>
      </x:c>
      <x:c r="P64" s="73" t="n">
        <x:f>COUNTIF($O$62:$O$67,"&gt;"&amp;O64)+1</x:f>
        <x:v>4</x:v>
      </x:c>
      <x:c r="Q64" s="83" t="n">
        <x:f>MAX($G$62:$G$67)-G64</x:f>
        <x:v>6.230052558021995</x:v>
      </x:c>
      <x:c r="R64" s="73" t="str">
        <x:f>INDEX(TrackMap!$B$8:$B$141,H64)</x:f>
        <x:v>短直道</x:v>
      </x:c>
    </x:row>
    <x:row r="65" ht="20" customHeight="1">
      <x:c r="A65" s="73" t="n">
        <x:v>9</x:v>
      </x:c>
      <x:c r="B65" s="73" t="n">
        <x:v>4</x:v>
      </x:c>
      <x:c r="C65" s="73" t="str">
        <x:f>INDEX(Drivers!$B$8:$B$13,B65)</x:f>
        <x:v>紫影</x:v>
      </x:c>
      <x:c r="D65" s="83" t="n">
        <x:f>G59</x:f>
        <x:v>25.111579980103265</x:v>
      </x:c>
      <x:c r="E65" s="83" t="str">
        <x:f>IF(A65=0,"GRID",IF(D65&gt;=Control!$B$17,"FINISHED",IF(AND(A65&gt;=INDEX(Drivers!$G$8:$G$13,B65),A65&lt;INDEX(Drivers!$G$8:$G$13,B65)+INDEX(Drivers!$J$8:$J$13,B65)),"PIT",IF(MOD(A65+INDEX(Drivers!$F$8:$F$13,B65),Control!$B$11)&lt;Control!$B$13,"BOOST","RACE"))))</x:f>
        <x:v>BOOST</x:v>
      </x:c>
      <x:c r="F65" s="83" t="n">
        <x:f>IF(OR(E65="GRID",E65="FINISHED",E65="PIT"),0,MAX(Control!$B$15,(INDEX(Drivers!$D$8:$D$13,B65)+INDEX(Drivers!$E$8:$E$13,B65)*SIN((A65+INDEX(Drivers!$F$8:$F$13,B65)+Control!$B$16)*Control!$B$14))*INDEX(TrackMap!$M$8:$M$141,MOD(INT(D65)-1,Control!$B$7)+1)*IF(E65="BOOST",Control!$B$12,1)))</x:f>
        <x:v>3.460178554679341</x:v>
      </x:c>
      <x:c r="G65" s="83" t="n">
        <x:f>IF(A65=0,D65,MIN(Control!$B$17,D65+F65))</x:f>
        <x:v>28.571758534782607</x:v>
      </x:c>
      <x:c r="H65" s="73" t="n">
        <x:f>MOD(INT(G65)-1,Control!$B$7)+1</x:f>
        <x:v>28</x:v>
      </x:c>
      <x:c r="I65" s="73" t="n">
        <x:f>MIN(Control!$B$6,MAX(1,INT(MAX(0,G65)/Control!$B$7)+1))</x:f>
        <x:v>1</x:v>
      </x:c>
      <x:c r="J65" s="73" t="n">
        <x:f>INDEX(Drivers!$H$8:$H$13,B65)</x:f>
        <x:v>2</x:v>
      </x:c>
      <x:c r="K65" s="73" t="n">
        <x:f>IF(J65=1,INDEX(TrackMap!$I$8:$I$141,H65),INDEX(TrackMap!$L$8:$L$141,H65))</x:f>
        <x:v>1711</x:v>
      </x:c>
      <x:c r="L65" s="73" t="str">
        <x:f>INDEX(TrackMap!$F$8:$F$141,H65)</x:f>
        <x:v>↑</x:v>
      </x:c>
      <x:c r="M65" s="87" t="n">
        <x:f>MAX(0,G65/Control!$B$17)</x:f>
        <x:v>0.04264441572355613</x:v>
      </x:c>
      <x:c r="N65" s="73" t="n">
        <x:f>IF(N59&gt;0,N59,IF(G65&gt;=Control!$B$17,A65,0))</x:f>
        <x:v>0</x:v>
      </x:c>
      <x:c r="O65" s="91" t="n">
        <x:f>IF(N65&gt;0,Control!$B$17+Control!$B$8+1-N65,G65)-B65/100000</x:f>
        <x:v>28.571718534782608</x:v>
      </x:c>
      <x:c r="P65" s="73" t="n">
        <x:f>COUNTIF($O$62:$O$67,"&gt;"&amp;O65)+1</x:f>
        <x:v>2</x:v>
      </x:c>
      <x:c r="Q65" s="83" t="n">
        <x:f>MAX($G$62:$G$67)-G65</x:f>
        <x:v>1.9358166439661844</x:v>
      </x:c>
      <x:c r="R65" s="73" t="str">
        <x:f>INDEX(TrackMap!$B$8:$B$141,H65)</x:f>
        <x:v>西侧上坡弯</x:v>
      </x:c>
    </x:row>
    <x:row r="66" ht="20" customHeight="1">
      <x:c r="A66" s="73" t="n">
        <x:v>9</x:v>
      </x:c>
      <x:c r="B66" s="73" t="n">
        <x:v>5</x:v>
      </x:c>
      <x:c r="C66" s="73" t="str">
        <x:f>INDEX(Drivers!$B$8:$B$13,B66)</x:f>
        <x:v>青锋</x:v>
      </x:c>
      <x:c r="D66" s="83" t="n">
        <x:f>G60</x:f>
        <x:v>21.041202365677492</x:v>
      </x:c>
      <x:c r="E66" s="83" t="str">
        <x:f>IF(A66=0,"GRID",IF(D66&gt;=Control!$B$17,"FINISHED",IF(AND(A66&gt;=INDEX(Drivers!$G$8:$G$13,B66),A66&lt;INDEX(Drivers!$G$8:$G$13,B66)+INDEX(Drivers!$J$8:$J$13,B66)),"PIT",IF(MOD(A66+INDEX(Drivers!$F$8:$F$13,B66),Control!$B$11)&lt;Control!$B$13,"BOOST","RACE"))))</x:f>
        <x:v>RACE</x:v>
      </x:c>
      <x:c r="F66" s="83" t="n">
        <x:f>IF(OR(E66="GRID",E66="FINISHED",E66="PIT"),0,MAX(Control!$B$15,(INDEX(Drivers!$D$8:$D$13,B66)+INDEX(Drivers!$E$8:$E$13,B66)*SIN((A66+INDEX(Drivers!$F$8:$F$13,B66)+Control!$B$16)*Control!$B$14))*INDEX(TrackMap!$M$8:$M$141,MOD(INT(D66)-1,Control!$B$7)+1)*IF(E66="BOOST",Control!$B$12,1)))</x:f>
        <x:v>2.6141592874804433</x:v>
      </x:c>
      <x:c r="G66" s="83" t="n">
        <x:f>IF(A66=0,D66,MIN(Control!$B$17,D66+F66))</x:f>
        <x:v>23.655361653157936</x:v>
      </x:c>
      <x:c r="H66" s="73" t="n">
        <x:f>MOD(INT(G66)-1,Control!$B$7)+1</x:f>
        <x:v>23</x:v>
      </x:c>
      <x:c r="I66" s="73" t="n">
        <x:f>MIN(Control!$B$6,MAX(1,INT(MAX(0,G66)/Control!$B$7)+1))</x:f>
        <x:v>1</x:v>
      </x:c>
      <x:c r="J66" s="73" t="n">
        <x:f>INDEX(Drivers!$H$8:$H$13,B66)</x:f>
        <x:v>1</x:v>
      </x:c>
      <x:c r="K66" s="73" t="n">
        <x:f>IF(J66=1,INDEX(TrackMap!$I$8:$I$141,H66),INDEX(TrackMap!$L$8:$L$141,H66))</x:f>
        <x:v>2208</x:v>
      </x:c>
      <x:c r="L66" s="73" t="str">
        <x:f>INDEX(TrackMap!$F$8:$F$141,H66)</x:f>
        <x:v>→</x:v>
      </x:c>
      <x:c r="M66" s="87" t="n">
        <x:f>MAX(0,G66/Control!$B$17)</x:f>
        <x:v>0.03530650993008647</x:v>
      </x:c>
      <x:c r="N66" s="73" t="n">
        <x:f>IF(N60&gt;0,N60,IF(G66&gt;=Control!$B$17,A66,0))</x:f>
        <x:v>0</x:v>
      </x:c>
      <x:c r="O66" s="91" t="n">
        <x:f>IF(N66&gt;0,Control!$B$17+Control!$B$8+1-N66,G66)-B66/100000</x:f>
        <x:v>23.655311653157934</x:v>
      </x:c>
      <x:c r="P66" s="73" t="n">
        <x:f>COUNTIF($O$62:$O$67,"&gt;"&amp;O66)+1</x:f>
        <x:v>5</x:v>
      </x:c>
      <x:c r="Q66" s="83" t="n">
        <x:f>MAX($G$62:$G$67)-G66</x:f>
        <x:v>6.852213525590855</x:v>
      </x:c>
      <x:c r="R66" s="73" t="str">
        <x:f>INDEX(TrackMap!$B$8:$B$141,H66)</x:f>
        <x:v>短直道</x:v>
      </x:c>
    </x:row>
    <x:row r="67" ht="20" customHeight="1">
      <x:c r="A67" s="73" t="n">
        <x:v>9</x:v>
      </x:c>
      <x:c r="B67" s="73" t="n">
        <x:v>6</x:v>
      </x:c>
      <x:c r="C67" s="73" t="str">
        <x:f>INDEX(Drivers!$B$8:$B$13,B67)</x:f>
        <x:v>玫速</x:v>
      </x:c>
      <x:c r="D67" s="83" t="n">
        <x:f>G61</x:f>
        <x:v>14.756381306202226</x:v>
      </x:c>
      <x:c r="E67" s="83" t="str">
        <x:f>IF(A67=0,"GRID",IF(D67&gt;=Control!$B$17,"FINISHED",IF(AND(A67&gt;=INDEX(Drivers!$G$8:$G$13,B67),A67&lt;INDEX(Drivers!$G$8:$G$13,B67)+INDEX(Drivers!$J$8:$J$13,B67)),"PIT",IF(MOD(A67+INDEX(Drivers!$F$8:$F$13,B67),Control!$B$11)&lt;Control!$B$13,"BOOST","RACE"))))</x:f>
        <x:v>RACE</x:v>
      </x:c>
      <x:c r="F67" s="83" t="n">
        <x:f>IF(OR(E67="GRID",E67="FINISHED",E67="PIT"),0,MAX(Control!$B$15,(INDEX(Drivers!$D$8:$D$13,B67)+INDEX(Drivers!$E$8:$E$13,B67)*SIN((A67+INDEX(Drivers!$F$8:$F$13,B67)+Control!$B$16)*Control!$B$14))*INDEX(TrackMap!$M$8:$M$141,MOD(INT(D67)-1,Control!$B$7)+1)*IF(E67="BOOST",Control!$B$12,1)))</x:f>
        <x:v>2.876778355001594</x:v>
      </x:c>
      <x:c r="G67" s="83" t="n">
        <x:f>IF(A67=0,D67,MIN(Control!$B$17,D67+F67))</x:f>
        <x:v>17.63315966120382</x:v>
      </x:c>
      <x:c r="H67" s="73" t="n">
        <x:f>MOD(INT(G67)-1,Control!$B$7)+1</x:f>
        <x:v>17</x:v>
      </x:c>
      <x:c r="I67" s="73" t="n">
        <x:f>MIN(Control!$B$6,MAX(1,INT(MAX(0,G67)/Control!$B$7)+1))</x:f>
        <x:v>1</x:v>
      </x:c>
      <x:c r="J67" s="73" t="n">
        <x:f>INDEX(Drivers!$H$8:$H$13,B67)</x:f>
        <x:v>2</x:v>
      </x:c>
      <x:c r="K67" s="73" t="n">
        <x:f>IF(J67=1,INDEX(TrackMap!$I$8:$I$141,H67),INDEX(TrackMap!$L$8:$L$141,H67))</x:f>
        <x:v>2504</x:v>
      </x:c>
      <x:c r="L67" s="73" t="str">
        <x:f>INDEX(TrackMap!$F$8:$F$141,H67)</x:f>
        <x:v>↑</x:v>
      </x:c>
      <x:c r="M67" s="87" t="n">
        <x:f>MAX(0,G67/Control!$B$17)</x:f>
        <x:v>0.026318148748065404</x:v>
      </x:c>
      <x:c r="N67" s="73" t="n">
        <x:f>IF(N61&gt;0,N61,IF(G67&gt;=Control!$B$17,A67,0))</x:f>
        <x:v>0</x:v>
      </x:c>
      <x:c r="O67" s="91" t="n">
        <x:f>IF(N67&gt;0,Control!$B$17+Control!$B$8+1-N67,G67)-B67/100000</x:f>
        <x:v>17.63309966120382</x:v>
      </x:c>
      <x:c r="P67" s="73" t="n">
        <x:f>COUNTIF($O$62:$O$67,"&gt;"&amp;O67)+1</x:f>
        <x:v>6</x:v>
      </x:c>
      <x:c r="Q67" s="83" t="n">
        <x:f>MAX($G$62:$G$67)-G67</x:f>
        <x:v>12.874415517544971</x:v>
      </x:c>
      <x:c r="R67" s="73" t="str">
        <x:f>INDEX(TrackMap!$B$8:$B$141,H67)</x:f>
        <x:v>西侧回弯</x:v>
      </x:c>
    </x:row>
    <x:row r="68" ht="20" customHeight="1">
      <x:c r="A68" s="73" t="n">
        <x:v>10</x:v>
      </x:c>
      <x:c r="B68" s="73" t="n">
        <x:v>1</x:v>
      </x:c>
      <x:c r="C68" s="73" t="str">
        <x:f>INDEX(Drivers!$B$8:$B$13,B68)</x:f>
        <x:v>赤焰</x:v>
      </x:c>
      <x:c r="D68" s="83" t="n">
        <x:f>G62</x:f>
        <x:v>30.50757517874879</x:v>
      </x:c>
      <x:c r="E68" s="83" t="str">
        <x:f>IF(A68=0,"GRID",IF(D68&gt;=Control!$B$17,"FINISHED",IF(AND(A68&gt;=INDEX(Drivers!$G$8:$G$13,B68),A68&lt;INDEX(Drivers!$G$8:$G$13,B68)+INDEX(Drivers!$J$8:$J$13,B68)),"PIT",IF(MOD(A68+INDEX(Drivers!$F$8:$F$13,B68),Control!$B$11)&lt;Control!$B$13,"BOOST","RACE"))))</x:f>
        <x:v>RACE</x:v>
      </x:c>
      <x:c r="F68" s="83" t="n">
        <x:f>IF(OR(E68="GRID",E68="FINISHED",E68="PIT"),0,MAX(Control!$B$15,(INDEX(Drivers!$D$8:$D$13,B68)+INDEX(Drivers!$E$8:$E$13,B68)*SIN((A68+INDEX(Drivers!$F$8:$F$13,B68)+Control!$B$16)*Control!$B$14))*INDEX(TrackMap!$M$8:$M$141,MOD(INT(D68)-1,Control!$B$7)+1)*IF(E68="BOOST",Control!$B$12,1)))</x:f>
        <x:v>3.9350255132565373</x:v>
      </x:c>
      <x:c r="G68" s="83" t="n">
        <x:f>IF(A68=0,D68,MIN(Control!$B$17,D68+F68))</x:f>
        <x:v>34.44260069200533</x:v>
      </x:c>
      <x:c r="H68" s="73" t="n">
        <x:f>MOD(INT(G68)-1,Control!$B$7)+1</x:f>
        <x:v>34</x:v>
      </x:c>
      <x:c r="I68" s="73" t="n">
        <x:f>MIN(Control!$B$6,MAX(1,INT(MAX(0,G68)/Control!$B$7)+1))</x:f>
        <x:v>1</x:v>
      </x:c>
      <x:c r="J68" s="73" t="n">
        <x:f>INDEX(Drivers!$H$8:$H$13,B68)</x:f>
        <x:v>1</x:v>
      </x:c>
      <x:c r="K68" s="73" t="n">
        <x:f>IF(J68=1,INDEX(TrackMap!$I$8:$I$141,H68),INDEX(TrackMap!$L$8:$L$141,H68))</x:f>
        <x:v>1110</x:v>
      </x:c>
      <x:c r="L68" s="73" t="str">
        <x:f>INDEX(TrackMap!$F$8:$F$141,H68)</x:f>
        <x:v>↑</x:v>
      </x:c>
      <x:c r="M68" s="87" t="n">
        <x:f>MAX(0,G68/Control!$B$17)</x:f>
        <x:v>0.05140686670448556</x:v>
      </x:c>
      <x:c r="N68" s="73" t="n">
        <x:f>IF(N62&gt;0,N62,IF(G68&gt;=Control!$B$17,A68,0))</x:f>
        <x:v>0</x:v>
      </x:c>
      <x:c r="O68" s="91" t="n">
        <x:f>IF(N68&gt;0,Control!$B$17+Control!$B$8+1-N68,G68)-B68/100000</x:f>
        <x:v>34.442590692005325</x:v>
      </x:c>
      <x:c r="P68" s="73" t="n">
        <x:f>COUNTIF($O$68:$O$73,"&gt;"&amp;O68)+1</x:f>
        <x:v>1</x:v>
      </x:c>
      <x:c r="Q68" s="83" t="n">
        <x:f>MAX($G$68:$G$73)-G68</x:f>
        <x:v>0</x:v>
      </x:c>
      <x:c r="R68" s="73" t="str">
        <x:f>INDEX(TrackMap!$B$8:$B$141,H68)</x:f>
        <x:v>西侧上坡弯</x:v>
      </x:c>
    </x:row>
    <x:row r="69" ht="20" customHeight="1">
      <x:c r="A69" s="73" t="n">
        <x:v>10</x:v>
      </x:c>
      <x:c r="B69" s="73" t="n">
        <x:v>2</x:v>
      </x:c>
      <x:c r="C69" s="73" t="str">
        <x:f>INDEX(Drivers!$B$8:$B$13,B69)</x:f>
        <x:v>蓝电</x:v>
      </x:c>
      <x:c r="D69" s="83" t="n">
        <x:f>G63</x:f>
        <x:v>26.76956633346031</x:v>
      </x:c>
      <x:c r="E69" s="83" t="str">
        <x:f>IF(A69=0,"GRID",IF(D69&gt;=Control!$B$17,"FINISHED",IF(AND(A69&gt;=INDEX(Drivers!$G$8:$G$13,B69),A69&lt;INDEX(Drivers!$G$8:$G$13,B69)+INDEX(Drivers!$J$8:$J$13,B69)),"PIT",IF(MOD(A69+INDEX(Drivers!$F$8:$F$13,B69),Control!$B$11)&lt;Control!$B$13,"BOOST","RACE"))))</x:f>
        <x:v>RACE</x:v>
      </x:c>
      <x:c r="F69" s="83" t="n">
        <x:f>IF(OR(E69="GRID",E69="FINISHED",E69="PIT"),0,MAX(Control!$B$15,(INDEX(Drivers!$D$8:$D$13,B69)+INDEX(Drivers!$E$8:$E$13,B69)*SIN((A69+INDEX(Drivers!$F$8:$F$13,B69)+Control!$B$16)*Control!$B$14))*INDEX(TrackMap!$M$8:$M$141,MOD(INT(D69)-1,Control!$B$7)+1)*IF(E69="BOOST",Control!$B$12,1)))</x:f>
        <x:v>2.376088157627581</x:v>
      </x:c>
      <x:c r="G69" s="83" t="n">
        <x:f>IF(A69=0,D69,MIN(Control!$B$17,D69+F69))</x:f>
        <x:v>29.145654491087893</x:v>
      </x:c>
      <x:c r="H69" s="73" t="n">
        <x:f>MOD(INT(G69)-1,Control!$B$7)+1</x:f>
        <x:v>29</x:v>
      </x:c>
      <x:c r="I69" s="73" t="n">
        <x:f>MIN(Control!$B$6,MAX(1,INT(MAX(0,G69)/Control!$B$7)+1))</x:f>
        <x:v>1</x:v>
      </x:c>
      <x:c r="J69" s="73" t="n">
        <x:f>INDEX(Drivers!$H$8:$H$13,B69)</x:f>
        <x:v>2</x:v>
      </x:c>
      <x:c r="K69" s="73" t="n">
        <x:f>IF(J69=1,INDEX(TrackMap!$I$8:$I$141,H69),INDEX(TrackMap!$L$8:$L$141,H69))</x:f>
        <x:v>1611</x:v>
      </x:c>
      <x:c r="L69" s="73" t="str">
        <x:f>INDEX(TrackMap!$F$8:$F$141,H69)</x:f>
        <x:v>↑</x:v>
      </x:c>
      <x:c r="M69" s="87" t="n">
        <x:f>MAX(0,G69/Control!$B$17)</x:f>
        <x:v>0.04350097685236999</x:v>
      </x:c>
      <x:c r="N69" s="73" t="n">
        <x:f>IF(N63&gt;0,N63,IF(G69&gt;=Control!$B$17,A69,0))</x:f>
        <x:v>0</x:v>
      </x:c>
      <x:c r="O69" s="91" t="n">
        <x:f>IF(N69&gt;0,Control!$B$17+Control!$B$8+1-N69,G69)-B69/100000</x:f>
        <x:v>29.145634491087893</x:v>
      </x:c>
      <x:c r="P69" s="73" t="n">
        <x:f>COUNTIF($O$68:$O$73,"&gt;"&amp;O69)+1</x:f>
        <x:v>3</x:v>
      </x:c>
      <x:c r="Q69" s="83" t="n">
        <x:f>MAX($G$68:$G$73)-G69</x:f>
        <x:v>5.296946200917436</x:v>
      </x:c>
      <x:c r="R69" s="73" t="str">
        <x:f>INDEX(TrackMap!$B$8:$B$141,H69)</x:f>
        <x:v>西侧上坡弯</x:v>
      </x:c>
    </x:row>
    <x:row r="70" ht="20" customHeight="1">
      <x:c r="A70" s="73" t="n">
        <x:v>10</x:v>
      </x:c>
      <x:c r="B70" s="73" t="n">
        <x:v>3</x:v>
      </x:c>
      <x:c r="C70" s="73" t="str">
        <x:f>INDEX(Drivers!$B$8:$B$13,B70)</x:f>
        <x:v>金翼</x:v>
      </x:c>
      <x:c r="D70" s="83" t="n">
        <x:f>G64</x:f>
        <x:v>24.277522620726796</x:v>
      </x:c>
      <x:c r="E70" s="83" t="str">
        <x:f>IF(A70=0,"GRID",IF(D70&gt;=Control!$B$17,"FINISHED",IF(AND(A70&gt;=INDEX(Drivers!$G$8:$G$13,B70),A70&lt;INDEX(Drivers!$G$8:$G$13,B70)+INDEX(Drivers!$J$8:$J$13,B70)),"PIT",IF(MOD(A70+INDEX(Drivers!$F$8:$F$13,B70),Control!$B$11)&lt;Control!$B$13,"BOOST","RACE"))))</x:f>
        <x:v>RACE</x:v>
      </x:c>
      <x:c r="F70" s="83" t="n">
        <x:f>IF(OR(E70="GRID",E70="FINISHED",E70="PIT"),0,MAX(Control!$B$15,(INDEX(Drivers!$D$8:$D$13,B70)+INDEX(Drivers!$E$8:$E$13,B70)*SIN((A70+INDEX(Drivers!$F$8:$F$13,B70)+Control!$B$16)*Control!$B$14))*INDEX(TrackMap!$M$8:$M$141,MOD(INT(D70)-1,Control!$B$7)+1)*IF(E70="BOOST",Control!$B$12,1)))</x:f>
        <x:v>3.27483940241523</x:v>
      </x:c>
      <x:c r="G70" s="83" t="n">
        <x:f>IF(A70=0,D70,MIN(Control!$B$17,D70+F70))</x:f>
        <x:v>27.552362023142024</x:v>
      </x:c>
      <x:c r="H70" s="73" t="n">
        <x:f>MOD(INT(G70)-1,Control!$B$7)+1</x:f>
        <x:v>27</x:v>
      </x:c>
      <x:c r="I70" s="73" t="n">
        <x:f>MIN(Control!$B$6,MAX(1,INT(MAX(0,G70)/Control!$B$7)+1))</x:f>
        <x:v>1</x:v>
      </x:c>
      <x:c r="J70" s="73" t="n">
        <x:f>INDEX(Drivers!$H$8:$H$13,B70)</x:f>
        <x:v>1</x:v>
      </x:c>
      <x:c r="K70" s="73" t="n">
        <x:f>IF(J70=1,INDEX(TrackMap!$I$8:$I$141,H70),INDEX(TrackMap!$L$8:$L$141,H70))</x:f>
        <x:v>1810</x:v>
      </x:c>
      <x:c r="L70" s="73" t="str">
        <x:f>INDEX(TrackMap!$F$8:$F$141,H70)</x:f>
        <x:v>↑</x:v>
      </x:c>
      <x:c r="M70" s="87" t="n">
        <x:f>MAX(0,G70/Control!$B$17)</x:f>
        <x:v>0.04112292839274929</x:v>
      </x:c>
      <x:c r="N70" s="73" t="n">
        <x:f>IF(N64&gt;0,N64,IF(G70&gt;=Control!$B$17,A70,0))</x:f>
        <x:v>0</x:v>
      </x:c>
      <x:c r="O70" s="91" t="n">
        <x:f>IF(N70&gt;0,Control!$B$17+Control!$B$8+1-N70,G70)-B70/100000</x:f>
        <x:v>27.552332023142025</x:v>
      </x:c>
      <x:c r="P70" s="73" t="n">
        <x:f>COUNTIF($O$68:$O$73,"&gt;"&amp;O70)+1</x:f>
        <x:v>4</x:v>
      </x:c>
      <x:c r="Q70" s="83" t="n">
        <x:f>MAX($G$68:$G$73)-G70</x:f>
        <x:v>6.890238668863304</x:v>
      </x:c>
      <x:c r="R70" s="73" t="str">
        <x:f>INDEX(TrackMap!$B$8:$B$141,H70)</x:f>
        <x:v>西侧上坡弯</x:v>
      </x:c>
    </x:row>
    <x:row r="71" ht="20" customHeight="1">
      <x:c r="A71" s="73" t="n">
        <x:v>10</x:v>
      </x:c>
      <x:c r="B71" s="73" t="n">
        <x:v>4</x:v>
      </x:c>
      <x:c r="C71" s="73" t="str">
        <x:f>INDEX(Drivers!$B$8:$B$13,B71)</x:f>
        <x:v>紫影</x:v>
      </x:c>
      <x:c r="D71" s="83" t="n">
        <x:f>G65</x:f>
        <x:v>28.571758534782607</x:v>
      </x:c>
      <x:c r="E71" s="83" t="str">
        <x:f>IF(A71=0,"GRID",IF(D71&gt;=Control!$B$17,"FINISHED",IF(AND(A71&gt;=INDEX(Drivers!$G$8:$G$13,B71),A71&lt;INDEX(Drivers!$G$8:$G$13,B71)+INDEX(Drivers!$J$8:$J$13,B71)),"PIT",IF(MOD(A71+INDEX(Drivers!$F$8:$F$13,B71),Control!$B$11)&lt;Control!$B$13,"BOOST","RACE"))))</x:f>
        <x:v>BOOST</x:v>
      </x:c>
      <x:c r="F71" s="83" t="n">
        <x:f>IF(OR(E71="GRID",E71="FINISHED",E71="PIT"),0,MAX(Control!$B$15,(INDEX(Drivers!$D$8:$D$13,B71)+INDEX(Drivers!$E$8:$E$13,B71)*SIN((A71+INDEX(Drivers!$F$8:$F$13,B71)+Control!$B$16)*Control!$B$14))*INDEX(TrackMap!$M$8:$M$141,MOD(INT(D71)-1,Control!$B$7)+1)*IF(E71="BOOST",Control!$B$12,1)))</x:f>
        <x:v>4.226742748491708</x:v>
      </x:c>
      <x:c r="G71" s="83" t="n">
        <x:f>IF(A71=0,D71,MIN(Control!$B$17,D71+F71))</x:f>
        <x:v>32.79850128327431</x:v>
      </x:c>
      <x:c r="H71" s="73" t="n">
        <x:f>MOD(INT(G71)-1,Control!$B$7)+1</x:f>
        <x:v>32</x:v>
      </x:c>
      <x:c r="I71" s="73" t="n">
        <x:f>MIN(Control!$B$6,MAX(1,INT(MAX(0,G71)/Control!$B$7)+1))</x:f>
        <x:v>1</x:v>
      </x:c>
      <x:c r="J71" s="73" t="n">
        <x:f>INDEX(Drivers!$H$8:$H$13,B71)</x:f>
        <x:v>2</x:v>
      </x:c>
      <x:c r="K71" s="73" t="n">
        <x:f>IF(J71=1,INDEX(TrackMap!$I$8:$I$141,H71),INDEX(TrackMap!$L$8:$L$141,H71))</x:f>
        <x:v>1311</x:v>
      </x:c>
      <x:c r="L71" s="73" t="str">
        <x:f>INDEX(TrackMap!$F$8:$F$141,H71)</x:f>
        <x:v>↑</x:v>
      </x:c>
      <x:c r="M71" s="87" t="n">
        <x:f>MAX(0,G71/Control!$B$17)</x:f>
        <x:v>0.04895298698996166</x:v>
      </x:c>
      <x:c r="N71" s="73" t="n">
        <x:f>IF(N65&gt;0,N65,IF(G71&gt;=Control!$B$17,A71,0))</x:f>
        <x:v>0</x:v>
      </x:c>
      <x:c r="O71" s="91" t="n">
        <x:f>IF(N71&gt;0,Control!$B$17+Control!$B$8+1-N71,G71)-B71/100000</x:f>
        <x:v>32.798461283274314</x:v>
      </x:c>
      <x:c r="P71" s="73" t="n">
        <x:f>COUNTIF($O$68:$O$73,"&gt;"&amp;O71)+1</x:f>
        <x:v>2</x:v>
      </x:c>
      <x:c r="Q71" s="83" t="n">
        <x:f>MAX($G$68:$G$73)-G71</x:f>
        <x:v>1.644099408731016</x:v>
      </x:c>
      <x:c r="R71" s="73" t="str">
        <x:f>INDEX(TrackMap!$B$8:$B$141,H71)</x:f>
        <x:v>西侧上坡弯</x:v>
      </x:c>
    </x:row>
    <x:row r="72" ht="20" customHeight="1">
      <x:c r="A72" s="73" t="n">
        <x:v>10</x:v>
      </x:c>
      <x:c r="B72" s="73" t="n">
        <x:v>5</x:v>
      </x:c>
      <x:c r="C72" s="73" t="str">
        <x:f>INDEX(Drivers!$B$8:$B$13,B72)</x:f>
        <x:v>青锋</x:v>
      </x:c>
      <x:c r="D72" s="83" t="n">
        <x:f>G66</x:f>
        <x:v>23.655361653157936</x:v>
      </x:c>
      <x:c r="E72" s="83" t="str">
        <x:f>IF(A72=0,"GRID",IF(D72&gt;=Control!$B$17,"FINISHED",IF(AND(A72&gt;=INDEX(Drivers!$G$8:$G$13,B72),A72&lt;INDEX(Drivers!$G$8:$G$13,B72)+INDEX(Drivers!$J$8:$J$13,B72)),"PIT",IF(MOD(A72+INDEX(Drivers!$F$8:$F$13,B72),Control!$B$11)&lt;Control!$B$13,"BOOST","RACE"))))</x:f>
        <x:v>RACE</x:v>
      </x:c>
      <x:c r="F72" s="83" t="n">
        <x:f>IF(OR(E72="GRID",E72="FINISHED",E72="PIT"),0,MAX(Control!$B$15,(INDEX(Drivers!$D$8:$D$13,B72)+INDEX(Drivers!$E$8:$E$13,B72)*SIN((A72+INDEX(Drivers!$F$8:$F$13,B72)+Control!$B$16)*Control!$B$14))*INDEX(TrackMap!$M$8:$M$141,MOD(INT(D72)-1,Control!$B$7)+1)*IF(E72="BOOST",Control!$B$12,1)))</x:f>
        <x:v>3.211539927182997</x:v>
      </x:c>
      <x:c r="G72" s="83" t="n">
        <x:f>IF(A72=0,D72,MIN(Control!$B$17,D72+F72))</x:f>
        <x:v>26.866901580340933</x:v>
      </x:c>
      <x:c r="H72" s="73" t="n">
        <x:f>MOD(INT(G72)-1,Control!$B$7)+1</x:f>
        <x:v>26</x:v>
      </x:c>
      <x:c r="I72" s="73" t="n">
        <x:f>MIN(Control!$B$6,MAX(1,INT(MAX(0,G72)/Control!$B$7)+1))</x:f>
        <x:v>1</x:v>
      </x:c>
      <x:c r="J72" s="73" t="n">
        <x:f>INDEX(Drivers!$H$8:$H$13,B72)</x:f>
        <x:v>1</x:v>
      </x:c>
      <x:c r="K72" s="73" t="n">
        <x:f>IF(J72=1,INDEX(TrackMap!$I$8:$I$141,H72),INDEX(TrackMap!$L$8:$L$141,H72))</x:f>
        <x:v>1910</x:v>
      </x:c>
      <x:c r="L72" s="73" t="str">
        <x:f>INDEX(TrackMap!$F$8:$F$141,H72)</x:f>
        <x:v>↑</x:v>
      </x:c>
      <x:c r="M72" s="87" t="n">
        <x:f>MAX(0,G72/Control!$B$17)</x:f>
        <x:v>0.04009985310498647</x:v>
      </x:c>
      <x:c r="N72" s="73" t="n">
        <x:f>IF(N66&gt;0,N66,IF(G72&gt;=Control!$B$17,A72,0))</x:f>
        <x:v>0</x:v>
      </x:c>
      <x:c r="O72" s="91" t="n">
        <x:f>IF(N72&gt;0,Control!$B$17+Control!$B$8+1-N72,G72)-B72/100000</x:f>
        <x:v>26.86685158034093</x:v>
      </x:c>
      <x:c r="P72" s="73" t="n">
        <x:f>COUNTIF($O$68:$O$73,"&gt;"&amp;O72)+1</x:f>
        <x:v>5</x:v>
      </x:c>
      <x:c r="Q72" s="83" t="n">
        <x:f>MAX($G$68:$G$73)-G72</x:f>
        <x:v>7.575699111664395</x:v>
      </x:c>
      <x:c r="R72" s="73" t="str">
        <x:f>INDEX(TrackMap!$B$8:$B$141,H72)</x:f>
        <x:v>西侧上坡弯</x:v>
      </x:c>
    </x:row>
    <x:row r="73" ht="20" customHeight="1">
      <x:c r="A73" s="73" t="n">
        <x:v>10</x:v>
      </x:c>
      <x:c r="B73" s="73" t="n">
        <x:v>6</x:v>
      </x:c>
      <x:c r="C73" s="73" t="str">
        <x:f>INDEX(Drivers!$B$8:$B$13,B73)</x:f>
        <x:v>玫速</x:v>
      </x:c>
      <x:c r="D73" s="83" t="n">
        <x:f>G67</x:f>
        <x:v>17.63315966120382</x:v>
      </x:c>
      <x:c r="E73" s="83" t="str">
        <x:f>IF(A73=0,"GRID",IF(D73&gt;=Control!$B$17,"FINISHED",IF(AND(A73&gt;=INDEX(Drivers!$G$8:$G$13,B73),A73&lt;INDEX(Drivers!$G$8:$G$13,B73)+INDEX(Drivers!$J$8:$J$13,B73)),"PIT",IF(MOD(A73+INDEX(Drivers!$F$8:$F$13,B73),Control!$B$11)&lt;Control!$B$13,"BOOST","RACE"))))</x:f>
        <x:v>RACE</x:v>
      </x:c>
      <x:c r="F73" s="83" t="n">
        <x:f>IF(OR(E73="GRID",E73="FINISHED",E73="PIT"),0,MAX(Control!$B$15,(INDEX(Drivers!$D$8:$D$13,B73)+INDEX(Drivers!$E$8:$E$13,B73)*SIN((A73+INDEX(Drivers!$F$8:$F$13,B73)+Control!$B$16)*Control!$B$14))*INDEX(TrackMap!$M$8:$M$141,MOD(INT(D73)-1,Control!$B$7)+1)*IF(E73="BOOST",Control!$B$12,1)))</x:f>
        <x:v>3.045567018536214</x:v>
      </x:c>
      <x:c r="G73" s="83" t="n">
        <x:f>IF(A73=0,D73,MIN(Control!$B$17,D73+F73))</x:f>
        <x:v>20.678726679740034</x:v>
      </x:c>
      <x:c r="H73" s="73" t="n">
        <x:f>MOD(INT(G73)-1,Control!$B$7)+1</x:f>
        <x:v>20</x:v>
      </x:c>
      <x:c r="I73" s="73" t="n">
        <x:f>MIN(Control!$B$6,MAX(1,INT(MAX(0,G73)/Control!$B$7)+1))</x:f>
        <x:v>1</x:v>
      </x:c>
      <x:c r="J73" s="73" t="n">
        <x:f>INDEX(Drivers!$H$8:$H$13,B73)</x:f>
        <x:v>2</x:v>
      </x:c>
      <x:c r="K73" s="73" t="n">
        <x:f>IF(J73=1,INDEX(TrackMap!$I$8:$I$141,H73),INDEX(TrackMap!$L$8:$L$141,H73))</x:f>
        <x:v>2205</x:v>
      </x:c>
      <x:c r="L73" s="73" t="str">
        <x:f>INDEX(TrackMap!$F$8:$F$141,H73)</x:f>
        <x:v>↑</x:v>
      </x:c>
      <x:c r="M73" s="87" t="n">
        <x:f>MAX(0,G73/Control!$B$17)</x:f>
        <x:v>0.030863771163791097</x:v>
      </x:c>
      <x:c r="N73" s="73" t="n">
        <x:f>IF(N67&gt;0,N67,IF(G73&gt;=Control!$B$17,A73,0))</x:f>
        <x:v>0</x:v>
      </x:c>
      <x:c r="O73" s="91" t="n">
        <x:f>IF(N73&gt;0,Control!$B$17+Control!$B$8+1-N73,G73)-B73/100000</x:f>
        <x:v>20.678666679740033</x:v>
      </x:c>
      <x:c r="P73" s="73" t="n">
        <x:f>COUNTIF($O$68:$O$73,"&gt;"&amp;O73)+1</x:f>
        <x:v>6</x:v>
      </x:c>
      <x:c r="Q73" s="83" t="n">
        <x:f>MAX($G$68:$G$73)-G73</x:f>
        <x:v>13.763874012265294</x:v>
      </x:c>
      <x:c r="R73" s="73" t="str">
        <x:f>INDEX(TrackMap!$B$8:$B$141,H73)</x:f>
        <x:v>西侧回弯</x:v>
      </x:c>
    </x:row>
    <x:row r="74" ht="20" customHeight="1">
      <x:c r="A74" s="73" t="n">
        <x:v>11</x:v>
      </x:c>
      <x:c r="B74" s="73" t="n">
        <x:v>1</x:v>
      </x:c>
      <x:c r="C74" s="73" t="str">
        <x:f>INDEX(Drivers!$B$8:$B$13,B74)</x:f>
        <x:v>赤焰</x:v>
      </x:c>
      <x:c r="D74" s="83" t="n">
        <x:f>G68</x:f>
        <x:v>34.44260069200533</x:v>
      </x:c>
      <x:c r="E74" s="83" t="str">
        <x:f>IF(A74=0,"GRID",IF(D74&gt;=Control!$B$17,"FINISHED",IF(AND(A74&gt;=INDEX(Drivers!$G$8:$G$13,B74),A74&lt;INDEX(Drivers!$G$8:$G$13,B74)+INDEX(Drivers!$J$8:$J$13,B74)),"PIT",IF(MOD(A74+INDEX(Drivers!$F$8:$F$13,B74),Control!$B$11)&lt;Control!$B$13,"BOOST","RACE"))))</x:f>
        <x:v>RACE</x:v>
      </x:c>
      <x:c r="F74" s="83" t="n">
        <x:f>IF(OR(E74="GRID",E74="FINISHED",E74="PIT"),0,MAX(Control!$B$15,(INDEX(Drivers!$D$8:$D$13,B74)+INDEX(Drivers!$E$8:$E$13,B74)*SIN((A74+INDEX(Drivers!$F$8:$F$13,B74)+Control!$B$16)*Control!$B$14))*INDEX(TrackMap!$M$8:$M$141,MOD(INT(D74)-1,Control!$B$7)+1)*IF(E74="BOOST",Control!$B$12,1)))</x:f>
        <x:v>2.921598589228206</x:v>
      </x:c>
      <x:c r="G74" s="83" t="n">
        <x:f>IF(A74=0,D74,MIN(Control!$B$17,D74+F74))</x:f>
        <x:v>37.36419928123353</x:v>
      </x:c>
      <x:c r="H74" s="73" t="n">
        <x:f>MOD(INT(G74)-1,Control!$B$7)+1</x:f>
        <x:v>37</x:v>
      </x:c>
      <x:c r="I74" s="73" t="n">
        <x:f>MIN(Control!$B$6,MAX(1,INT(MAX(0,G74)/Control!$B$7)+1))</x:f>
        <x:v>1</x:v>
      </x:c>
      <x:c r="J74" s="73" t="n">
        <x:f>INDEX(Drivers!$H$8:$H$13,B74)</x:f>
        <x:v>1</x:v>
      </x:c>
      <x:c r="K74" s="73" t="n">
        <x:f>IF(J74=1,INDEX(TrackMap!$I$8:$I$141,H74),INDEX(TrackMap!$L$8:$L$141,H74))</x:f>
        <x:v>813</x:v>
      </x:c>
      <x:c r="L74" s="73" t="str">
        <x:f>INDEX(TrackMap!$F$8:$F$141,H74)</x:f>
        <x:v>→</x:v>
      </x:c>
      <x:c r="M74" s="87" t="n">
        <x:f>MAX(0,G74/Control!$B$17)</x:f>
        <x:v>0.05576746161378139</x:v>
      </x:c>
      <x:c r="N74" s="73" t="n">
        <x:f>IF(N68&gt;0,N68,IF(G74&gt;=Control!$B$17,A74,0))</x:f>
        <x:v>0</x:v>
      </x:c>
      <x:c r="O74" s="91" t="n">
        <x:f>IF(N74&gt;0,Control!$B$17+Control!$B$8+1-N74,G74)-B74/100000</x:f>
        <x:v>37.36418928123353</x:v>
      </x:c>
      <x:c r="P74" s="73" t="n">
        <x:f>COUNTIF($O$74:$O$79,"&gt;"&amp;O74)+1</x:f>
        <x:v>1</x:v>
      </x:c>
      <x:c r="Q74" s="83" t="n">
        <x:f>MAX($G$74:$G$79)-G74</x:f>
        <x:v>0</x:v>
      </x:c>
      <x:c r="R74" s="73" t="str">
        <x:f>INDEX(TrackMap!$B$8:$B$141,H74)</x:f>
        <x:v>西侧发卡弯</x:v>
      </x:c>
    </x:row>
    <x:row r="75" ht="20" customHeight="1">
      <x:c r="A75" s="73" t="n">
        <x:v>11</x:v>
      </x:c>
      <x:c r="B75" s="73" t="n">
        <x:v>2</x:v>
      </x:c>
      <x:c r="C75" s="73" t="str">
        <x:f>INDEX(Drivers!$B$8:$B$13,B75)</x:f>
        <x:v>蓝电</x:v>
      </x:c>
      <x:c r="D75" s="83" t="n">
        <x:f>G69</x:f>
        <x:v>29.145654491087893</x:v>
      </x:c>
      <x:c r="E75" s="83" t="str">
        <x:f>IF(A75=0,"GRID",IF(D75&gt;=Control!$B$17,"FINISHED",IF(AND(A75&gt;=INDEX(Drivers!$G$8:$G$13,B75),A75&lt;INDEX(Drivers!$G$8:$G$13,B75)+INDEX(Drivers!$J$8:$J$13,B75)),"PIT",IF(MOD(A75+INDEX(Drivers!$F$8:$F$13,B75),Control!$B$11)&lt;Control!$B$13,"BOOST","RACE"))))</x:f>
        <x:v>RACE</x:v>
      </x:c>
      <x:c r="F75" s="83" t="n">
        <x:f>IF(OR(E75="GRID",E75="FINISHED",E75="PIT"),0,MAX(Control!$B$15,(INDEX(Drivers!$D$8:$D$13,B75)+INDEX(Drivers!$E$8:$E$13,B75)*SIN((A75+INDEX(Drivers!$F$8:$F$13,B75)+Control!$B$16)*Control!$B$14))*INDEX(TrackMap!$M$8:$M$141,MOD(INT(D75)-1,Control!$B$7)+1)*IF(E75="BOOST",Control!$B$12,1)))</x:f>
        <x:v>3.181503565887943</x:v>
      </x:c>
      <x:c r="G75" s="83" t="n">
        <x:f>IF(A75=0,D75,MIN(Control!$B$17,D75+F75))</x:f>
        <x:v>32.32715805697583</x:v>
      </x:c>
      <x:c r="H75" s="73" t="n">
        <x:f>MOD(INT(G75)-1,Control!$B$7)+1</x:f>
        <x:v>32</x:v>
      </x:c>
      <x:c r="I75" s="73" t="n">
        <x:f>MIN(Control!$B$6,MAX(1,INT(MAX(0,G75)/Control!$B$7)+1))</x:f>
        <x:v>1</x:v>
      </x:c>
      <x:c r="J75" s="73" t="n">
        <x:f>INDEX(Drivers!$H$8:$H$13,B75)</x:f>
        <x:v>2</x:v>
      </x:c>
      <x:c r="K75" s="73" t="n">
        <x:f>IF(J75=1,INDEX(TrackMap!$I$8:$I$141,H75),INDEX(TrackMap!$L$8:$L$141,H75))</x:f>
        <x:v>1311</x:v>
      </x:c>
      <x:c r="L75" s="73" t="str">
        <x:f>INDEX(TrackMap!$F$8:$F$141,H75)</x:f>
        <x:v>↑</x:v>
      </x:c>
      <x:c r="M75" s="87" t="n">
        <x:f>MAX(0,G75/Control!$B$17)</x:f>
        <x:v>0.04824948963727736</x:v>
      </x:c>
      <x:c r="N75" s="73" t="n">
        <x:f>IF(N69&gt;0,N69,IF(G75&gt;=Control!$B$17,A75,0))</x:f>
        <x:v>0</x:v>
      </x:c>
      <x:c r="O75" s="91" t="n">
        <x:f>IF(N75&gt;0,Control!$B$17+Control!$B$8+1-N75,G75)-B75/100000</x:f>
        <x:v>32.32713805697583</x:v>
      </x:c>
      <x:c r="P75" s="73" t="n">
        <x:f>COUNTIF($O$74:$O$79,"&gt;"&amp;O75)+1</x:f>
        <x:v>3</x:v>
      </x:c>
      <x:c r="Q75" s="83" t="n">
        <x:f>MAX($G$74:$G$79)-G75</x:f>
        <x:v>5.037041224257699</x:v>
      </x:c>
      <x:c r="R75" s="73" t="str">
        <x:f>INDEX(TrackMap!$B$8:$B$141,H75)</x:f>
        <x:v>西侧上坡弯</x:v>
      </x:c>
    </x:row>
    <x:row r="76" ht="20" customHeight="1">
      <x:c r="A76" s="73" t="n">
        <x:v>11</x:v>
      </x:c>
      <x:c r="B76" s="73" t="n">
        <x:v>3</x:v>
      </x:c>
      <x:c r="C76" s="73" t="str">
        <x:f>INDEX(Drivers!$B$8:$B$13,B76)</x:f>
        <x:v>金翼</x:v>
      </x:c>
      <x:c r="D76" s="83" t="n">
        <x:f>G70</x:f>
        <x:v>27.552362023142024</x:v>
      </x:c>
      <x:c r="E76" s="83" t="str">
        <x:f>IF(A76=0,"GRID",IF(D76&gt;=Control!$B$17,"FINISHED",IF(AND(A76&gt;=INDEX(Drivers!$G$8:$G$13,B76),A76&lt;INDEX(Drivers!$G$8:$G$13,B76)+INDEX(Drivers!$J$8:$J$13,B76)),"PIT",IF(MOD(A76+INDEX(Drivers!$F$8:$F$13,B76),Control!$B$11)&lt;Control!$B$13,"BOOST","RACE"))))</x:f>
        <x:v>RACE</x:v>
      </x:c>
      <x:c r="F76" s="83" t="n">
        <x:f>IF(OR(E76="GRID",E76="FINISHED",E76="PIT"),0,MAX(Control!$B$15,(INDEX(Drivers!$D$8:$D$13,B76)+INDEX(Drivers!$E$8:$E$13,B76)*SIN((A76+INDEX(Drivers!$F$8:$F$13,B76)+Control!$B$16)*Control!$B$14))*INDEX(TrackMap!$M$8:$M$141,MOD(INT(D76)-1,Control!$B$7)+1)*IF(E76="BOOST",Control!$B$12,1)))</x:f>
        <x:v>3.2593976655157637</x:v>
      </x:c>
      <x:c r="G76" s="83" t="n">
        <x:f>IF(A76=0,D76,MIN(Control!$B$17,D76+F76))</x:f>
        <x:v>30.811759688657787</x:v>
      </x:c>
      <x:c r="H76" s="73" t="n">
        <x:f>MOD(INT(G76)-1,Control!$B$7)+1</x:f>
        <x:v>30</x:v>
      </x:c>
      <x:c r="I76" s="73" t="n">
        <x:f>MIN(Control!$B$6,MAX(1,INT(MAX(0,G76)/Control!$B$7)+1))</x:f>
        <x:v>1</x:v>
      </x:c>
      <x:c r="J76" s="73" t="n">
        <x:f>INDEX(Drivers!$H$8:$H$13,B76)</x:f>
        <x:v>1</x:v>
      </x:c>
      <x:c r="K76" s="73" t="n">
        <x:f>IF(J76=1,INDEX(TrackMap!$I$8:$I$141,H76),INDEX(TrackMap!$L$8:$L$141,H76))</x:f>
        <x:v>1510</x:v>
      </x:c>
      <x:c r="L76" s="73" t="str">
        <x:f>INDEX(TrackMap!$F$8:$F$141,H76)</x:f>
        <x:v>↑</x:v>
      </x:c>
      <x:c r="M76" s="87" t="n">
        <x:f>MAX(0,G76/Control!$B$17)</x:f>
        <x:v>0.045987701027847445</x:v>
      </x:c>
      <x:c r="N76" s="73" t="n">
        <x:f>IF(N70&gt;0,N70,IF(G76&gt;=Control!$B$17,A76,0))</x:f>
        <x:v>0</x:v>
      </x:c>
      <x:c r="O76" s="91" t="n">
        <x:f>IF(N76&gt;0,Control!$B$17+Control!$B$8+1-N76,G76)-B76/100000</x:f>
        <x:v>30.81172968865779</x:v>
      </x:c>
      <x:c r="P76" s="73" t="n">
        <x:f>COUNTIF($O$74:$O$79,"&gt;"&amp;O76)+1</x:f>
        <x:v>4</x:v>
      </x:c>
      <x:c r="Q76" s="83" t="n">
        <x:f>MAX($G$74:$G$79)-G76</x:f>
        <x:v>6.552439592575745</x:v>
      </x:c>
      <x:c r="R76" s="73" t="str">
        <x:f>INDEX(TrackMap!$B$8:$B$141,H76)</x:f>
        <x:v>西侧上坡弯</x:v>
      </x:c>
    </x:row>
    <x:row r="77" ht="20" customHeight="1">
      <x:c r="A77" s="73" t="n">
        <x:v>11</x:v>
      </x:c>
      <x:c r="B77" s="73" t="n">
        <x:v>4</x:v>
      </x:c>
      <x:c r="C77" s="73" t="str">
        <x:f>INDEX(Drivers!$B$8:$B$13,B77)</x:f>
        <x:v>紫影</x:v>
      </x:c>
      <x:c r="D77" s="83" t="n">
        <x:f>G71</x:f>
        <x:v>32.79850128327431</x:v>
      </x:c>
      <x:c r="E77" s="83" t="str">
        <x:f>IF(A77=0,"GRID",IF(D77&gt;=Control!$B$17,"FINISHED",IF(AND(A77&gt;=INDEX(Drivers!$G$8:$G$13,B77),A77&lt;INDEX(Drivers!$G$8:$G$13,B77)+INDEX(Drivers!$J$8:$J$13,B77)),"PIT",IF(MOD(A77+INDEX(Drivers!$F$8:$F$13,B77),Control!$B$11)&lt;Control!$B$13,"BOOST","RACE"))))</x:f>
        <x:v>BOOST</x:v>
      </x:c>
      <x:c r="F77" s="83" t="n">
        <x:f>IF(OR(E77="GRID",E77="FINISHED",E77="PIT"),0,MAX(Control!$B$15,(INDEX(Drivers!$D$8:$D$13,B77)+INDEX(Drivers!$E$8:$E$13,B77)*SIN((A77+INDEX(Drivers!$F$8:$F$13,B77)+Control!$B$16)*Control!$B$14))*INDEX(TrackMap!$M$8:$M$141,MOD(INT(D77)-1,Control!$B$7)+1)*IF(E77="BOOST",Control!$B$12,1)))</x:f>
        <x:v>4.103067543078</x:v>
      </x:c>
      <x:c r="G77" s="83" t="n">
        <x:f>IF(A77=0,D77,MIN(Control!$B$17,D77+F77))</x:f>
        <x:v>36.90156882635231</x:v>
      </x:c>
      <x:c r="H77" s="73" t="n">
        <x:f>MOD(INT(G77)-1,Control!$B$7)+1</x:f>
        <x:v>36</x:v>
      </x:c>
      <x:c r="I77" s="73" t="n">
        <x:f>MIN(Control!$B$6,MAX(1,INT(MAX(0,G77)/Control!$B$7)+1))</x:f>
        <x:v>1</x:v>
      </x:c>
      <x:c r="J77" s="73" t="n">
        <x:f>INDEX(Drivers!$H$8:$H$13,B77)</x:f>
        <x:v>2</x:v>
      </x:c>
      <x:c r="K77" s="73" t="n">
        <x:f>IF(J77=1,INDEX(TrackMap!$I$8:$I$141,H77),INDEX(TrackMap!$L$8:$L$141,H77))</x:f>
        <x:v>912</x:v>
      </x:c>
      <x:c r="L77" s="73" t="str">
        <x:f>INDEX(TrackMap!$F$8:$F$141,H77)</x:f>
        <x:v>→</x:v>
      </x:c>
      <x:c r="M77" s="87" t="n">
        <x:f>MAX(0,G77/Control!$B$17)</x:f>
        <x:v>0.05507696839754076</x:v>
      </x:c>
      <x:c r="N77" s="73" t="n">
        <x:f>IF(N71&gt;0,N71,IF(G77&gt;=Control!$B$17,A77,0))</x:f>
        <x:v>0</x:v>
      </x:c>
      <x:c r="O77" s="91" t="n">
        <x:f>IF(N77&gt;0,Control!$B$17+Control!$B$8+1-N77,G77)-B77/100000</x:f>
        <x:v>36.90152882635231</x:v>
      </x:c>
      <x:c r="P77" s="73" t="n">
        <x:f>COUNTIF($O$74:$O$79,"&gt;"&amp;O77)+1</x:f>
        <x:v>2</x:v>
      </x:c>
      <x:c r="Q77" s="83" t="n">
        <x:f>MAX($G$74:$G$79)-G77</x:f>
        <x:v>0.46263045488122145</x:v>
      </x:c>
      <x:c r="R77" s="73" t="str">
        <x:f>INDEX(TrackMap!$B$8:$B$141,H77)</x:f>
        <x:v>西侧发卡弯</x:v>
      </x:c>
    </x:row>
    <x:row r="78" ht="20" customHeight="1">
      <x:c r="A78" s="73" t="n">
        <x:v>11</x:v>
      </x:c>
      <x:c r="B78" s="73" t="n">
        <x:v>5</x:v>
      </x:c>
      <x:c r="C78" s="73" t="str">
        <x:f>INDEX(Drivers!$B$8:$B$13,B78)</x:f>
        <x:v>青锋</x:v>
      </x:c>
      <x:c r="D78" s="83" t="n">
        <x:f>G72</x:f>
        <x:v>26.866901580340933</x:v>
      </x:c>
      <x:c r="E78" s="83" t="str">
        <x:f>IF(A78=0,"GRID",IF(D78&gt;=Control!$B$17,"FINISHED",IF(AND(A78&gt;=INDEX(Drivers!$G$8:$G$13,B78),A78&lt;INDEX(Drivers!$G$8:$G$13,B78)+INDEX(Drivers!$J$8:$J$13,B78)),"PIT",IF(MOD(A78+INDEX(Drivers!$F$8:$F$13,B78),Control!$B$11)&lt;Control!$B$13,"BOOST","RACE"))))</x:f>
        <x:v>RACE</x:v>
      </x:c>
      <x:c r="F78" s="83" t="n">
        <x:f>IF(OR(E78="GRID",E78="FINISHED",E78="PIT"),0,MAX(Control!$B$15,(INDEX(Drivers!$D$8:$D$13,B78)+INDEX(Drivers!$E$8:$E$13,B78)*SIN((A78+INDEX(Drivers!$F$8:$F$13,B78)+Control!$B$16)*Control!$B$14))*INDEX(TrackMap!$M$8:$M$141,MOD(INT(D78)-1,Control!$B$7)+1)*IF(E78="BOOST",Control!$B$12,1)))</x:f>
        <x:v>2.440019552986285</x:v>
      </x:c>
      <x:c r="G78" s="83" t="n">
        <x:f>IF(A78=0,D78,MIN(Control!$B$17,D78+F78))</x:f>
        <x:v>29.30692113332722</x:v>
      </x:c>
      <x:c r="H78" s="73" t="n">
        <x:f>MOD(INT(G78)-1,Control!$B$7)+1</x:f>
        <x:v>29</x:v>
      </x:c>
      <x:c r="I78" s="73" t="n">
        <x:f>MIN(Control!$B$6,MAX(1,INT(MAX(0,G78)/Control!$B$7)+1))</x:f>
        <x:v>1</x:v>
      </x:c>
      <x:c r="J78" s="73" t="n">
        <x:f>INDEX(Drivers!$H$8:$H$13,B78)</x:f>
        <x:v>1</x:v>
      </x:c>
      <x:c r="K78" s="73" t="n">
        <x:f>IF(J78=1,INDEX(TrackMap!$I$8:$I$141,H78),INDEX(TrackMap!$L$8:$L$141,H78))</x:f>
        <x:v>1610</x:v>
      </x:c>
      <x:c r="L78" s="73" t="str">
        <x:f>INDEX(TrackMap!$F$8:$F$141,H78)</x:f>
        <x:v>↑</x:v>
      </x:c>
      <x:c r="M78" s="87" t="n">
        <x:f>MAX(0,G78/Control!$B$17)</x:f>
        <x:v>0.04374167333332421</x:v>
      </x:c>
      <x:c r="N78" s="73" t="n">
        <x:f>IF(N72&gt;0,N72,IF(G78&gt;=Control!$B$17,A78,0))</x:f>
        <x:v>0</x:v>
      </x:c>
      <x:c r="O78" s="91" t="n">
        <x:f>IF(N78&gt;0,Control!$B$17+Control!$B$8+1-N78,G78)-B78/100000</x:f>
        <x:v>29.306871133327217</x:v>
      </x:c>
      <x:c r="P78" s="73" t="n">
        <x:f>COUNTIF($O$74:$O$79,"&gt;"&amp;O78)+1</x:f>
        <x:v>5</x:v>
      </x:c>
      <x:c r="Q78" s="83" t="n">
        <x:f>MAX($G$74:$G$79)-G78</x:f>
        <x:v>8.057278147906313</x:v>
      </x:c>
      <x:c r="R78" s="73" t="str">
        <x:f>INDEX(TrackMap!$B$8:$B$141,H78)</x:f>
        <x:v>西侧上坡弯</x:v>
      </x:c>
    </x:row>
    <x:row r="79" ht="20" customHeight="1">
      <x:c r="A79" s="73" t="n">
        <x:v>11</x:v>
      </x:c>
      <x:c r="B79" s="73" t="n">
        <x:v>6</x:v>
      </x:c>
      <x:c r="C79" s="73" t="str">
        <x:f>INDEX(Drivers!$B$8:$B$13,B79)</x:f>
        <x:v>玫速</x:v>
      </x:c>
      <x:c r="D79" s="83" t="n">
        <x:f>G73</x:f>
        <x:v>20.678726679740034</x:v>
      </x:c>
      <x:c r="E79" s="83" t="str">
        <x:f>IF(A79=0,"GRID",IF(D79&gt;=Control!$B$17,"FINISHED",IF(AND(A79&gt;=INDEX(Drivers!$G$8:$G$13,B79),A79&lt;INDEX(Drivers!$G$8:$G$13,B79)+INDEX(Drivers!$J$8:$J$13,B79)),"PIT",IF(MOD(A79+INDEX(Drivers!$F$8:$F$13,B79),Control!$B$11)&lt;Control!$B$13,"BOOST","RACE"))))</x:f>
        <x:v>RACE</x:v>
      </x:c>
      <x:c r="F79" s="83" t="n">
        <x:f>IF(OR(E79="GRID",E79="FINISHED",E79="PIT"),0,MAX(Control!$B$15,(INDEX(Drivers!$D$8:$D$13,B79)+INDEX(Drivers!$E$8:$E$13,B79)*SIN((A79+INDEX(Drivers!$F$8:$F$13,B79)+Control!$B$16)*Control!$B$14))*INDEX(TrackMap!$M$8:$M$141,MOD(INT(D79)-1,Control!$B$7)+1)*IF(E79="BOOST",Control!$B$12,1)))</x:f>
        <x:v>3.19064764785759</x:v>
      </x:c>
      <x:c r="G79" s="83" t="n">
        <x:f>IF(A79=0,D79,MIN(Control!$B$17,D79+F79))</x:f>
        <x:v>23.869374327597626</x:v>
      </x:c>
      <x:c r="H79" s="73" t="n">
        <x:f>MOD(INT(G79)-1,Control!$B$7)+1</x:f>
        <x:v>23</x:v>
      </x:c>
      <x:c r="I79" s="73" t="n">
        <x:f>MIN(Control!$B$6,MAX(1,INT(MAX(0,G79)/Control!$B$7)+1))</x:f>
        <x:v>1</x:v>
      </x:c>
      <x:c r="J79" s="73" t="n">
        <x:f>INDEX(Drivers!$H$8:$H$13,B79)</x:f>
        <x:v>2</x:v>
      </x:c>
      <x:c r="K79" s="73" t="n">
        <x:f>IF(J79=1,INDEX(TrackMap!$I$8:$I$141,H79),INDEX(TrackMap!$L$8:$L$141,H79))</x:f>
        <x:v>2108</x:v>
      </x:c>
      <x:c r="L79" s="73" t="str">
        <x:f>INDEX(TrackMap!$F$8:$F$141,H79)</x:f>
        <x:v>→</x:v>
      </x:c>
      <x:c r="M79" s="87" t="n">
        <x:f>MAX(0,G79/Control!$B$17)</x:f>
        <x:v>0.03562593183223526</x:v>
      </x:c>
      <x:c r="N79" s="73" t="n">
        <x:f>IF(N73&gt;0,N73,IF(G79&gt;=Control!$B$17,A79,0))</x:f>
        <x:v>0</x:v>
      </x:c>
      <x:c r="O79" s="91" t="n">
        <x:f>IF(N79&gt;0,Control!$B$17+Control!$B$8+1-N79,G79)-B79/100000</x:f>
        <x:v>23.869314327597625</x:v>
      </x:c>
      <x:c r="P79" s="73" t="n">
        <x:f>COUNTIF($O$74:$O$79,"&gt;"&amp;O79)+1</x:f>
        <x:v>6</x:v>
      </x:c>
      <x:c r="Q79" s="83" t="n">
        <x:f>MAX($G$74:$G$79)-G79</x:f>
        <x:v>13.494824953635906</x:v>
      </x:c>
      <x:c r="R79" s="73" t="str">
        <x:f>INDEX(TrackMap!$B$8:$B$141,H79)</x:f>
        <x:v>短直道</x:v>
      </x:c>
    </x:row>
    <x:row r="80" ht="20" customHeight="1">
      <x:c r="A80" s="73" t="n">
        <x:v>12</x:v>
      </x:c>
      <x:c r="B80" s="73" t="n">
        <x:v>1</x:v>
      </x:c>
      <x:c r="C80" s="73" t="str">
        <x:f>INDEX(Drivers!$B$8:$B$13,B80)</x:f>
        <x:v>赤焰</x:v>
      </x:c>
      <x:c r="D80" s="83" t="n">
        <x:f>G74</x:f>
        <x:v>37.36419928123353</x:v>
      </x:c>
      <x:c r="E80" s="83" t="str">
        <x:f>IF(A80=0,"GRID",IF(D80&gt;=Control!$B$17,"FINISHED",IF(AND(A80&gt;=INDEX(Drivers!$G$8:$G$13,B80),A80&lt;INDEX(Drivers!$G$8:$G$13,B80)+INDEX(Drivers!$J$8:$J$13,B80)),"PIT",IF(MOD(A80+INDEX(Drivers!$F$8:$F$13,B80),Control!$B$11)&lt;Control!$B$13,"BOOST","RACE"))))</x:f>
        <x:v>RACE</x:v>
      </x:c>
      <x:c r="F80" s="83" t="n">
        <x:f>IF(OR(E80="GRID",E80="FINISHED",E80="PIT"),0,MAX(Control!$B$15,(INDEX(Drivers!$D$8:$D$13,B80)+INDEX(Drivers!$E$8:$E$13,B80)*SIN((A80+INDEX(Drivers!$F$8:$F$13,B80)+Control!$B$16)*Control!$B$14))*INDEX(TrackMap!$M$8:$M$141,MOD(INT(D80)-1,Control!$B$7)+1)*IF(E80="BOOST",Control!$B$12,1)))</x:f>
        <x:v>2.763780709022078</x:v>
      </x:c>
      <x:c r="G80" s="83" t="n">
        <x:f>IF(A80=0,D80,MIN(Control!$B$17,D80+F80))</x:f>
        <x:v>40.12797999025561</x:v>
      </x:c>
      <x:c r="H80" s="73" t="n">
        <x:f>MOD(INT(G80)-1,Control!$B$7)+1</x:f>
        <x:v>40</x:v>
      </x:c>
      <x:c r="I80" s="73" t="n">
        <x:f>MIN(Control!$B$6,MAX(1,INT(MAX(0,G80)/Control!$B$7)+1))</x:f>
        <x:v>1</x:v>
      </x:c>
      <x:c r="J80" s="73" t="n">
        <x:f>INDEX(Drivers!$H$8:$H$13,B80)</x:f>
        <x:v>1</x:v>
      </x:c>
      <x:c r="K80" s="73" t="n">
        <x:f>IF(J80=1,INDEX(TrackMap!$I$8:$I$141,H80),INDEX(TrackMap!$L$8:$L$141,H80))</x:f>
        <x:v>816</x:v>
      </x:c>
      <x:c r="L80" s="73" t="str">
        <x:f>INDEX(TrackMap!$F$8:$F$141,H80)</x:f>
        <x:v>→</x:v>
      </x:c>
      <x:c r="M80" s="87" t="n">
        <x:f>MAX(0,G80/Control!$B$17)</x:f>
        <x:v>0.0598925074481427</x:v>
      </x:c>
      <x:c r="N80" s="73" t="n">
        <x:f>IF(N74&gt;0,N74,IF(G80&gt;=Control!$B$17,A80,0))</x:f>
        <x:v>0</x:v>
      </x:c>
      <x:c r="O80" s="91" t="n">
        <x:f>IF(N80&gt;0,Control!$B$17+Control!$B$8+1-N80,G80)-B80/100000</x:f>
        <x:v>40.12796999025561</x:v>
      </x:c>
      <x:c r="P80" s="73" t="n">
        <x:f>COUNTIF($O$80:$O$85,"&gt;"&amp;O80)+1</x:f>
        <x:v>1</x:v>
      </x:c>
      <x:c r="Q80" s="83" t="n">
        <x:f>MAX($G$80:$G$85)-G80</x:f>
        <x:v>0</x:v>
      </x:c>
      <x:c r="R80" s="73" t="str">
        <x:f>INDEX(TrackMap!$B$8:$B$141,H80)</x:f>
        <x:v>西侧发卡弯</x:v>
      </x:c>
    </x:row>
    <x:row r="81" ht="20" customHeight="1">
      <x:c r="A81" s="73" t="n">
        <x:v>12</x:v>
      </x:c>
      <x:c r="B81" s="73" t="n">
        <x:v>2</x:v>
      </x:c>
      <x:c r="C81" s="73" t="str">
        <x:f>INDEX(Drivers!$B$8:$B$13,B81)</x:f>
        <x:v>蓝电</x:v>
      </x:c>
      <x:c r="D81" s="83" t="n">
        <x:f>G75</x:f>
        <x:v>32.32715805697583</x:v>
      </x:c>
      <x:c r="E81" s="83" t="str">
        <x:f>IF(A81=0,"GRID",IF(D81&gt;=Control!$B$17,"FINISHED",IF(AND(A81&gt;=INDEX(Drivers!$G$8:$G$13,B81),A81&lt;INDEX(Drivers!$G$8:$G$13,B81)+INDEX(Drivers!$J$8:$J$13,B81)),"PIT",IF(MOD(A81+INDEX(Drivers!$F$8:$F$13,B81),Control!$B$11)&lt;Control!$B$13,"BOOST","RACE"))))</x:f>
        <x:v>RACE</x:v>
      </x:c>
      <x:c r="F81" s="83" t="n">
        <x:f>IF(OR(E81="GRID",E81="FINISHED",E81="PIT"),0,MAX(Control!$B$15,(INDEX(Drivers!$D$8:$D$13,B81)+INDEX(Drivers!$E$8:$E$13,B81)*SIN((A81+INDEX(Drivers!$F$8:$F$13,B81)+Control!$B$16)*Control!$B$14))*INDEX(TrackMap!$M$8:$M$141,MOD(INT(D81)-1,Control!$B$7)+1)*IF(E81="BOOST",Control!$B$12,1)))</x:f>
        <x:v>3.370674885948363</x:v>
      </x:c>
      <x:c r="G81" s="83" t="n">
        <x:f>IF(A81=0,D81,MIN(Control!$B$17,D81+F81))</x:f>
        <x:v>35.697832942924194</x:v>
      </x:c>
      <x:c r="H81" s="73" t="n">
        <x:f>MOD(INT(G81)-1,Control!$B$7)+1</x:f>
        <x:v>35</x:v>
      </x:c>
      <x:c r="I81" s="73" t="n">
        <x:f>MIN(Control!$B$6,MAX(1,INT(MAX(0,G81)/Control!$B$7)+1))</x:f>
        <x:v>1</x:v>
      </x:c>
      <x:c r="J81" s="73" t="n">
        <x:f>INDEX(Drivers!$H$8:$H$13,B81)</x:f>
        <x:v>2</x:v>
      </x:c>
      <x:c r="K81" s="73" t="n">
        <x:f>IF(J81=1,INDEX(TrackMap!$I$8:$I$141,H81),INDEX(TrackMap!$L$8:$L$141,H81))</x:f>
        <x:v>1011</x:v>
      </x:c>
      <x:c r="L81" s="73" t="str">
        <x:f>INDEX(TrackMap!$F$8:$F$141,H81)</x:f>
        <x:v>↑</x:v>
      </x:c>
      <x:c r="M81" s="87" t="n">
        <x:f>MAX(0,G81/Control!$B$17)</x:f>
        <x:v>0.05328034767600626</x:v>
      </x:c>
      <x:c r="N81" s="73" t="n">
        <x:f>IF(N75&gt;0,N75,IF(G81&gt;=Control!$B$17,A81,0))</x:f>
        <x:v>0</x:v>
      </x:c>
      <x:c r="O81" s="91" t="n">
        <x:f>IF(N81&gt;0,Control!$B$17+Control!$B$8+1-N81,G81)-B81/100000</x:f>
        <x:v>35.697812942924195</x:v>
      </x:c>
      <x:c r="P81" s="73" t="n">
        <x:f>COUNTIF($O$80:$O$85,"&gt;"&amp;O81)+1</x:f>
        <x:v>3</x:v>
      </x:c>
      <x:c r="Q81" s="83" t="n">
        <x:f>MAX($G$80:$G$85)-G81</x:f>
        <x:v>4.430147047331417</x:v>
      </x:c>
      <x:c r="R81" s="73" t="str">
        <x:f>INDEX(TrackMap!$B$8:$B$141,H81)</x:f>
        <x:v>西侧上坡弯</x:v>
      </x:c>
    </x:row>
    <x:row r="82" ht="20" customHeight="1">
      <x:c r="A82" s="73" t="n">
        <x:v>12</x:v>
      </x:c>
      <x:c r="B82" s="73" t="n">
        <x:v>3</x:v>
      </x:c>
      <x:c r="C82" s="73" t="str">
        <x:f>INDEX(Drivers!$B$8:$B$13,B82)</x:f>
        <x:v>金翼</x:v>
      </x:c>
      <x:c r="D82" s="83" t="n">
        <x:f>G76</x:f>
        <x:v>30.811759688657787</x:v>
      </x:c>
      <x:c r="E82" s="83" t="str">
        <x:f>IF(A82=0,"GRID",IF(D82&gt;=Control!$B$17,"FINISHED",IF(AND(A82&gt;=INDEX(Drivers!$G$8:$G$13,B82),A82&lt;INDEX(Drivers!$G$8:$G$13,B82)+INDEX(Drivers!$J$8:$J$13,B82)),"PIT",IF(MOD(A82+INDEX(Drivers!$F$8:$F$13,B82),Control!$B$11)&lt;Control!$B$13,"BOOST","RACE"))))</x:f>
        <x:v>RACE</x:v>
      </x:c>
      <x:c r="F82" s="83" t="n">
        <x:f>IF(OR(E82="GRID",E82="FINISHED",E82="PIT"),0,MAX(Control!$B$15,(INDEX(Drivers!$D$8:$D$13,B82)+INDEX(Drivers!$E$8:$E$13,B82)*SIN((A82+INDEX(Drivers!$F$8:$F$13,B82)+Control!$B$16)*Control!$B$14))*INDEX(TrackMap!$M$8:$M$141,MOD(INT(D82)-1,Control!$B$7)+1)*IF(E82="BOOST",Control!$B$12,1)))</x:f>
        <x:v>4.094126033687658</x:v>
      </x:c>
      <x:c r="G82" s="83" t="n">
        <x:f>IF(A82=0,D82,MIN(Control!$B$17,D82+F82))</x:f>
        <x:v>34.905885722345445</x:v>
      </x:c>
      <x:c r="H82" s="73" t="n">
        <x:f>MOD(INT(G82)-1,Control!$B$7)+1</x:f>
        <x:v>34</x:v>
      </x:c>
      <x:c r="I82" s="73" t="n">
        <x:f>MIN(Control!$B$6,MAX(1,INT(MAX(0,G82)/Control!$B$7)+1))</x:f>
        <x:v>1</x:v>
      </x:c>
      <x:c r="J82" s="73" t="n">
        <x:f>INDEX(Drivers!$H$8:$H$13,B82)</x:f>
        <x:v>1</x:v>
      </x:c>
      <x:c r="K82" s="73" t="n">
        <x:f>IF(J82=1,INDEX(TrackMap!$I$8:$I$141,H82),INDEX(TrackMap!$L$8:$L$141,H82))</x:f>
        <x:v>1110</x:v>
      </x:c>
      <x:c r="L82" s="73" t="str">
        <x:f>INDEX(TrackMap!$F$8:$F$141,H82)</x:f>
        <x:v>↑</x:v>
      </x:c>
      <x:c r="M82" s="87" t="n">
        <x:f>MAX(0,G82/Control!$B$17)</x:f>
        <x:v>0.05209833689902305</x:v>
      </x:c>
      <x:c r="N82" s="73" t="n">
        <x:f>IF(N76&gt;0,N76,IF(G82&gt;=Control!$B$17,A82,0))</x:f>
        <x:v>0</x:v>
      </x:c>
      <x:c r="O82" s="91" t="n">
        <x:f>IF(N82&gt;0,Control!$B$17+Control!$B$8+1-N82,G82)-B82/100000</x:f>
        <x:v>34.90585572234544</x:v>
      </x:c>
      <x:c r="P82" s="73" t="n">
        <x:f>COUNTIF($O$80:$O$85,"&gt;"&amp;O82)+1</x:f>
        <x:v>4</x:v>
      </x:c>
      <x:c r="Q82" s="83" t="n">
        <x:f>MAX($G$80:$G$85)-G82</x:f>
        <x:v>5.222094267910165</x:v>
      </x:c>
      <x:c r="R82" s="73" t="str">
        <x:f>INDEX(TrackMap!$B$8:$B$141,H82)</x:f>
        <x:v>西侧上坡弯</x:v>
      </x:c>
    </x:row>
    <x:row r="83" ht="20" customHeight="1">
      <x:c r="A83" s="73" t="n">
        <x:v>12</x:v>
      </x:c>
      <x:c r="B83" s="73" t="n">
        <x:v>4</x:v>
      </x:c>
      <x:c r="C83" s="73" t="str">
        <x:f>INDEX(Drivers!$B$8:$B$13,B83)</x:f>
        <x:v>紫影</x:v>
      </x:c>
      <x:c r="D83" s="83" t="n">
        <x:f>G77</x:f>
        <x:v>36.90156882635231</x:v>
      </x:c>
      <x:c r="E83" s="83" t="str">
        <x:f>IF(A83=0,"GRID",IF(D83&gt;=Control!$B$17,"FINISHED",IF(AND(A83&gt;=INDEX(Drivers!$G$8:$G$13,B83),A83&lt;INDEX(Drivers!$G$8:$G$13,B83)+INDEX(Drivers!$J$8:$J$13,B83)),"PIT",IF(MOD(A83+INDEX(Drivers!$F$8:$F$13,B83),Control!$B$11)&lt;Control!$B$13,"BOOST","RACE"))))</x:f>
        <x:v>RACE</x:v>
      </x:c>
      <x:c r="F83" s="83" t="n">
        <x:f>IF(OR(E83="GRID",E83="FINISHED",E83="PIT"),0,MAX(Control!$B$15,(INDEX(Drivers!$D$8:$D$13,B83)+INDEX(Drivers!$E$8:$E$13,B83)*SIN((A83+INDEX(Drivers!$F$8:$F$13,B83)+Control!$B$16)*Control!$B$14))*INDEX(TrackMap!$M$8:$M$141,MOD(INT(D83)-1,Control!$B$7)+1)*IF(E83="BOOST",Control!$B$12,1)))</x:f>
        <x:v>2.358396210316182</x:v>
      </x:c>
      <x:c r="G83" s="83" t="n">
        <x:f>IF(A83=0,D83,MIN(Control!$B$17,D83+F83))</x:f>
        <x:v>39.25996503666849</x:v>
      </x:c>
      <x:c r="H83" s="73" t="n">
        <x:f>MOD(INT(G83)-1,Control!$B$7)+1</x:f>
        <x:v>39</x:v>
      </x:c>
      <x:c r="I83" s="73" t="n">
        <x:f>MIN(Control!$B$6,MAX(1,INT(MAX(0,G83)/Control!$B$7)+1))</x:f>
        <x:v>1</x:v>
      </x:c>
      <x:c r="J83" s="73" t="n">
        <x:f>INDEX(Drivers!$H$8:$H$13,B83)</x:f>
        <x:v>2</x:v>
      </x:c>
      <x:c r="K83" s="73" t="n">
        <x:f>IF(J83=1,INDEX(TrackMap!$I$8:$I$141,H83),INDEX(TrackMap!$L$8:$L$141,H83))</x:f>
        <x:v>915</x:v>
      </x:c>
      <x:c r="L83" s="73" t="str">
        <x:f>INDEX(TrackMap!$F$8:$F$141,H83)</x:f>
        <x:v>→</x:v>
      </x:c>
      <x:c r="M83" s="87" t="n">
        <x:f>MAX(0,G83/Control!$B$17)</x:f>
        <x:v>0.058596962741296256</x:v>
      </x:c>
      <x:c r="N83" s="73" t="n">
        <x:f>IF(N77&gt;0,N77,IF(G83&gt;=Control!$B$17,A83,0))</x:f>
        <x:v>0</x:v>
      </x:c>
      <x:c r="O83" s="91" t="n">
        <x:f>IF(N83&gt;0,Control!$B$17+Control!$B$8+1-N83,G83)-B83/100000</x:f>
        <x:v>39.25992503666849</x:v>
      </x:c>
      <x:c r="P83" s="73" t="n">
        <x:f>COUNTIF($O$80:$O$85,"&gt;"&amp;O83)+1</x:f>
        <x:v>2</x:v>
      </x:c>
      <x:c r="Q83" s="83" t="n">
        <x:f>MAX($G$80:$G$85)-G83</x:f>
        <x:v>0.8680149535871209</x:v>
      </x:c>
      <x:c r="R83" s="73" t="str">
        <x:f>INDEX(TrackMap!$B$8:$B$141,H83)</x:f>
        <x:v>西侧发卡弯</x:v>
      </x:c>
    </x:row>
    <x:row r="84" ht="20" customHeight="1">
      <x:c r="A84" s="73" t="n">
        <x:v>12</x:v>
      </x:c>
      <x:c r="B84" s="73" t="n">
        <x:v>5</x:v>
      </x:c>
      <x:c r="C84" s="73" t="str">
        <x:f>INDEX(Drivers!$B$8:$B$13,B84)</x:f>
        <x:v>青锋</x:v>
      </x:c>
      <x:c r="D84" s="83" t="n">
        <x:f>G78</x:f>
        <x:v>29.30692113332722</x:v>
      </x:c>
      <x:c r="E84" s="83" t="str">
        <x:f>IF(A84=0,"GRID",IF(D84&gt;=Control!$B$17,"FINISHED",IF(AND(A84&gt;=INDEX(Drivers!$G$8:$G$13,B84),A84&lt;INDEX(Drivers!$G$8:$G$13,B84)+INDEX(Drivers!$J$8:$J$13,B84)),"PIT",IF(MOD(A84+INDEX(Drivers!$F$8:$F$13,B84),Control!$B$11)&lt;Control!$B$13,"BOOST","RACE"))))</x:f>
        <x:v>RACE</x:v>
      </x:c>
      <x:c r="F84" s="83" t="n">
        <x:f>IF(OR(E84="GRID",E84="FINISHED",E84="PIT"),0,MAX(Control!$B$15,(INDEX(Drivers!$D$8:$D$13,B84)+INDEX(Drivers!$E$8:$E$13,B84)*SIN((A84+INDEX(Drivers!$F$8:$F$13,B84)+Control!$B$16)*Control!$B$14))*INDEX(TrackMap!$M$8:$M$141,MOD(INT(D84)-1,Control!$B$7)+1)*IF(E84="BOOST",Control!$B$12,1)))</x:f>
        <x:v>3.1128326541339257</x:v>
      </x:c>
      <x:c r="G84" s="83" t="n">
        <x:f>IF(A84=0,D84,MIN(Control!$B$17,D84+F84))</x:f>
        <x:v>32.41975378746115</x:v>
      </x:c>
      <x:c r="H84" s="73" t="n">
        <x:f>MOD(INT(G84)-1,Control!$B$7)+1</x:f>
        <x:v>32</x:v>
      </x:c>
      <x:c r="I84" s="73" t="n">
        <x:f>MIN(Control!$B$6,MAX(1,INT(MAX(0,G84)/Control!$B$7)+1))</x:f>
        <x:v>1</x:v>
      </x:c>
      <x:c r="J84" s="73" t="n">
        <x:f>INDEX(Drivers!$H$8:$H$13,B84)</x:f>
        <x:v>1</x:v>
      </x:c>
      <x:c r="K84" s="73" t="n">
        <x:f>IF(J84=1,INDEX(TrackMap!$I$8:$I$141,H84),INDEX(TrackMap!$L$8:$L$141,H84))</x:f>
        <x:v>1310</x:v>
      </x:c>
      <x:c r="L84" s="73" t="str">
        <x:f>INDEX(TrackMap!$F$8:$F$141,H84)</x:f>
        <x:v>↑</x:v>
      </x:c>
      <x:c r="M84" s="87" t="n">
        <x:f>MAX(0,G84/Control!$B$17)</x:f>
        <x:v>0.04838769222009127</x:v>
      </x:c>
      <x:c r="N84" s="73" t="n">
        <x:f>IF(N78&gt;0,N78,IF(G84&gt;=Control!$B$17,A84,0))</x:f>
        <x:v>0</x:v>
      </x:c>
      <x:c r="O84" s="91" t="n">
        <x:f>IF(N84&gt;0,Control!$B$17+Control!$B$8+1-N84,G84)-B84/100000</x:f>
        <x:v>32.419703787461145</x:v>
      </x:c>
      <x:c r="P84" s="73" t="n">
        <x:f>COUNTIF($O$80:$O$85,"&gt;"&amp;O84)+1</x:f>
        <x:v>5</x:v>
      </x:c>
      <x:c r="Q84" s="83" t="n">
        <x:f>MAX($G$80:$G$85)-G84</x:f>
        <x:v>7.708226202794464</x:v>
      </x:c>
      <x:c r="R84" s="73" t="str">
        <x:f>INDEX(TrackMap!$B$8:$B$141,H84)</x:f>
        <x:v>西侧上坡弯</x:v>
      </x:c>
    </x:row>
    <x:row r="85" ht="20" customHeight="1">
      <x:c r="A85" s="73" t="n">
        <x:v>12</x:v>
      </x:c>
      <x:c r="B85" s="73" t="n">
        <x:v>6</x:v>
      </x:c>
      <x:c r="C85" s="73" t="str">
        <x:f>INDEX(Drivers!$B$8:$B$13,B85)</x:f>
        <x:v>玫速</x:v>
      </x:c>
      <x:c r="D85" s="83" t="n">
        <x:f>G79</x:f>
        <x:v>23.869374327597626</x:v>
      </x:c>
      <x:c r="E85" s="83" t="str">
        <x:f>IF(A85=0,"GRID",IF(D85&gt;=Control!$B$17,"FINISHED",IF(AND(A85&gt;=INDEX(Drivers!$G$8:$G$13,B85),A85&lt;INDEX(Drivers!$G$8:$G$13,B85)+INDEX(Drivers!$J$8:$J$13,B85)),"PIT",IF(MOD(A85+INDEX(Drivers!$F$8:$F$13,B85),Control!$B$11)&lt;Control!$B$13,"BOOST","RACE"))))</x:f>
        <x:v>RACE</x:v>
      </x:c>
      <x:c r="F85" s="83" t="n">
        <x:f>IF(OR(E85="GRID",E85="FINISHED",E85="PIT"),0,MAX(Control!$B$15,(INDEX(Drivers!$D$8:$D$13,B85)+INDEX(Drivers!$E$8:$E$13,B85)*SIN((A85+INDEX(Drivers!$F$8:$F$13,B85)+Control!$B$16)*Control!$B$14))*INDEX(TrackMap!$M$8:$M$141,MOD(INT(D85)-1,Control!$B$7)+1)*IF(E85="BOOST",Control!$B$12,1)))</x:f>
        <x:v>4.221005462039835</x:v>
      </x:c>
      <x:c r="G85" s="83" t="n">
        <x:f>IF(A85=0,D85,MIN(Control!$B$17,D85+F85))</x:f>
        <x:v>28.09037978963746</x:v>
      </x:c>
      <x:c r="H85" s="73" t="n">
        <x:f>MOD(INT(G85)-1,Control!$B$7)+1</x:f>
        <x:v>28</x:v>
      </x:c>
      <x:c r="I85" s="73" t="n">
        <x:f>MIN(Control!$B$6,MAX(1,INT(MAX(0,G85)/Control!$B$7)+1))</x:f>
        <x:v>1</x:v>
      </x:c>
      <x:c r="J85" s="73" t="n">
        <x:f>INDEX(Drivers!$H$8:$H$13,B85)</x:f>
        <x:v>2</x:v>
      </x:c>
      <x:c r="K85" s="73" t="n">
        <x:f>IF(J85=1,INDEX(TrackMap!$I$8:$I$141,H85),INDEX(TrackMap!$L$8:$L$141,H85))</x:f>
        <x:v>1711</x:v>
      </x:c>
      <x:c r="L85" s="73" t="str">
        <x:f>INDEX(TrackMap!$F$8:$F$141,H85)</x:f>
        <x:v>↑</x:v>
      </x:c>
      <x:c r="M85" s="87" t="n">
        <x:f>MAX(0,G85/Control!$B$17)</x:f>
        <x:v>0.04192593998453352</x:v>
      </x:c>
      <x:c r="N85" s="73" t="n">
        <x:f>IF(N79&gt;0,N79,IF(G85&gt;=Control!$B$17,A85,0))</x:f>
        <x:v>0</x:v>
      </x:c>
      <x:c r="O85" s="91" t="n">
        <x:f>IF(N85&gt;0,Control!$B$17+Control!$B$8+1-N85,G85)-B85/100000</x:f>
        <x:v>28.09031978963746</x:v>
      </x:c>
      <x:c r="P85" s="73" t="n">
        <x:f>COUNTIF($O$80:$O$85,"&gt;"&amp;O85)+1</x:f>
        <x:v>6</x:v>
      </x:c>
      <x:c r="Q85" s="83" t="n">
        <x:f>MAX($G$80:$G$85)-G85</x:f>
        <x:v>12.03760020061815</x:v>
      </x:c>
      <x:c r="R85" s="73" t="str">
        <x:f>INDEX(TrackMap!$B$8:$B$141,H85)</x:f>
        <x:v>西侧上坡弯</x:v>
      </x:c>
    </x:row>
    <x:row r="86" ht="20" customHeight="1">
      <x:c r="A86" s="73" t="n">
        <x:v>13</x:v>
      </x:c>
      <x:c r="B86" s="73" t="n">
        <x:v>1</x:v>
      </x:c>
      <x:c r="C86" s="73" t="str">
        <x:f>INDEX(Drivers!$B$8:$B$13,B86)</x:f>
        <x:v>赤焰</x:v>
      </x:c>
      <x:c r="D86" s="83" t="n">
        <x:f>G80</x:f>
        <x:v>40.12797999025561</x:v>
      </x:c>
      <x:c r="E86" s="83" t="str">
        <x:f>IF(A86=0,"GRID",IF(D86&gt;=Control!$B$17,"FINISHED",IF(AND(A86&gt;=INDEX(Drivers!$G$8:$G$13,B86),A86&lt;INDEX(Drivers!$G$8:$G$13,B86)+INDEX(Drivers!$J$8:$J$13,B86)),"PIT",IF(MOD(A86+INDEX(Drivers!$F$8:$F$13,B86),Control!$B$11)&lt;Control!$B$13,"BOOST","RACE"))))</x:f>
        <x:v>RACE</x:v>
      </x:c>
      <x:c r="F86" s="83" t="n">
        <x:f>IF(OR(E86="GRID",E86="FINISHED",E86="PIT"),0,MAX(Control!$B$15,(INDEX(Drivers!$D$8:$D$13,B86)+INDEX(Drivers!$E$8:$E$13,B86)*SIN((A86+INDEX(Drivers!$F$8:$F$13,B86)+Control!$B$16)*Control!$B$14))*INDEX(TrackMap!$M$8:$M$141,MOD(INT(D86)-1,Control!$B$7)+1)*IF(E86="BOOST",Control!$B$12,1)))</x:f>
        <x:v>2.6172261694504693</x:v>
      </x:c>
      <x:c r="G86" s="83" t="n">
        <x:f>IF(A86=0,D86,MIN(Control!$B$17,D86+F86))</x:f>
        <x:v>42.74520615970608</x:v>
      </x:c>
      <x:c r="H86" s="73" t="n">
        <x:f>MOD(INT(G86)-1,Control!$B$7)+1</x:f>
        <x:v>42</x:v>
      </x:c>
      <x:c r="I86" s="73" t="n">
        <x:f>MIN(Control!$B$6,MAX(1,INT(MAX(0,G86)/Control!$B$7)+1))</x:f>
        <x:v>1</x:v>
      </x:c>
      <x:c r="J86" s="73" t="n">
        <x:f>INDEX(Drivers!$H$8:$H$13,B86)</x:f>
        <x:v>1</x:v>
      </x:c>
      <x:c r="K86" s="73" t="n">
        <x:f>IF(J86=1,INDEX(TrackMap!$I$8:$I$141,H86),INDEX(TrackMap!$L$8:$L$141,H86))</x:f>
        <x:v>818</x:v>
      </x:c>
      <x:c r="L86" s="73" t="str">
        <x:f>INDEX(TrackMap!$F$8:$F$141,H86)</x:f>
        <x:v>→</x:v>
      </x:c>
      <x:c r="M86" s="87" t="n">
        <x:f>MAX(0,G86/Control!$B$17)</x:f>
        <x:v>0.06379881516374042</x:v>
      </x:c>
      <x:c r="N86" s="73" t="n">
        <x:f>IF(N80&gt;0,N80,IF(G86&gt;=Control!$B$17,A86,0))</x:f>
        <x:v>0</x:v>
      </x:c>
      <x:c r="O86" s="91" t="n">
        <x:f>IF(N86&gt;0,Control!$B$17+Control!$B$8+1-N86,G86)-B86/100000</x:f>
        <x:v>42.745196159706076</x:v>
      </x:c>
      <x:c r="P86" s="73" t="n">
        <x:f>COUNTIF($O$86:$O$91,"&gt;"&amp;O86)+1</x:f>
        <x:v>1</x:v>
      </x:c>
      <x:c r="Q86" s="83" t="n">
        <x:f>MAX($G$86:$G$91)-G86</x:f>
        <x:v>0</x:v>
      </x:c>
      <x:c r="R86" s="73" t="str">
        <x:f>INDEX(TrackMap!$B$8:$B$141,H86)</x:f>
        <x:v>西侧发卡弯</x:v>
      </x:c>
    </x:row>
    <x:row r="87" ht="20" customHeight="1">
      <x:c r="A87" s="73" t="n">
        <x:v>13</x:v>
      </x:c>
      <x:c r="B87" s="73" t="n">
        <x:v>2</x:v>
      </x:c>
      <x:c r="C87" s="73" t="str">
        <x:f>INDEX(Drivers!$B$8:$B$13,B87)</x:f>
        <x:v>蓝电</x:v>
      </x:c>
      <x:c r="D87" s="83" t="n">
        <x:f>G81</x:f>
        <x:v>35.697832942924194</x:v>
      </x:c>
      <x:c r="E87" s="83" t="str">
        <x:f>IF(A87=0,"GRID",IF(D87&gt;=Control!$B$17,"FINISHED",IF(AND(A87&gt;=INDEX(Drivers!$G$8:$G$13,B87),A87&lt;INDEX(Drivers!$G$8:$G$13,B87)+INDEX(Drivers!$J$8:$J$13,B87)),"PIT",IF(MOD(A87+INDEX(Drivers!$F$8:$F$13,B87),Control!$B$11)&lt;Control!$B$13,"BOOST","RACE"))))</x:f>
        <x:v>RACE</x:v>
      </x:c>
      <x:c r="F87" s="83" t="n">
        <x:f>IF(OR(E87="GRID",E87="FINISHED",E87="PIT"),0,MAX(Control!$B$15,(INDEX(Drivers!$D$8:$D$13,B87)+INDEX(Drivers!$E$8:$E$13,B87)*SIN((A87+INDEX(Drivers!$F$8:$F$13,B87)+Control!$B$16)*Control!$B$14))*INDEX(TrackMap!$M$8:$M$141,MOD(INT(D87)-1,Control!$B$7)+1)*IF(E87="BOOST",Control!$B$12,1)))</x:f>
        <x:v>2.798778355001594</x:v>
      </x:c>
      <x:c r="G87" s="83" t="n">
        <x:f>IF(A87=0,D87,MIN(Control!$B$17,D87+F87))</x:f>
        <x:v>38.49661129792579</x:v>
      </x:c>
      <x:c r="H87" s="73" t="n">
        <x:f>MOD(INT(G87)-1,Control!$B$7)+1</x:f>
        <x:v>38</x:v>
      </x:c>
      <x:c r="I87" s="73" t="n">
        <x:f>MIN(Control!$B$6,MAX(1,INT(MAX(0,G87)/Control!$B$7)+1))</x:f>
        <x:v>1</x:v>
      </x:c>
      <x:c r="J87" s="73" t="n">
        <x:f>INDEX(Drivers!$H$8:$H$13,B87)</x:f>
        <x:v>2</x:v>
      </x:c>
      <x:c r="K87" s="73" t="n">
        <x:f>IF(J87=1,INDEX(TrackMap!$I$8:$I$141,H87),INDEX(TrackMap!$L$8:$L$141,H87))</x:f>
        <x:v>914</x:v>
      </x:c>
      <x:c r="L87" s="73" t="str">
        <x:f>INDEX(TrackMap!$F$8:$F$141,H87)</x:f>
        <x:v>→</x:v>
      </x:c>
      <x:c r="M87" s="87" t="n">
        <x:f>MAX(0,G87/Control!$B$17)</x:f>
        <x:v>0.05745762880287431</x:v>
      </x:c>
      <x:c r="N87" s="73" t="n">
        <x:f>IF(N81&gt;0,N81,IF(G87&gt;=Control!$B$17,A87,0))</x:f>
        <x:v>0</x:v>
      </x:c>
      <x:c r="O87" s="91" t="n">
        <x:f>IF(N87&gt;0,Control!$B$17+Control!$B$8+1-N87,G87)-B87/100000</x:f>
        <x:v>38.49659129792579</x:v>
      </x:c>
      <x:c r="P87" s="73" t="n">
        <x:f>COUNTIF($O$86:$O$91,"&gt;"&amp;O87)+1</x:f>
        <x:v>3</x:v>
      </x:c>
      <x:c r="Q87" s="83" t="n">
        <x:f>MAX($G$86:$G$91)-G87</x:f>
        <x:v>4.24859486178029</x:v>
      </x:c>
      <x:c r="R87" s="73" t="str">
        <x:f>INDEX(TrackMap!$B$8:$B$141,H87)</x:f>
        <x:v>西侧发卡弯</x:v>
      </x:c>
    </x:row>
    <x:row r="88" ht="20" customHeight="1">
      <x:c r="A88" s="73" t="n">
        <x:v>13</x:v>
      </x:c>
      <x:c r="B88" s="73" t="n">
        <x:v>3</x:v>
      </x:c>
      <x:c r="C88" s="73" t="str">
        <x:f>INDEX(Drivers!$B$8:$B$13,B88)</x:f>
        <x:v>金翼</x:v>
      </x:c>
      <x:c r="D88" s="83" t="n">
        <x:f>G82</x:f>
        <x:v>34.905885722345445</x:v>
      </x:c>
      <x:c r="E88" s="83" t="str">
        <x:f>IF(A88=0,"GRID",IF(D88&gt;=Control!$B$17,"FINISHED",IF(AND(A88&gt;=INDEX(Drivers!$G$8:$G$13,B88),A88&lt;INDEX(Drivers!$G$8:$G$13,B88)+INDEX(Drivers!$J$8:$J$13,B88)),"PIT",IF(MOD(A88+INDEX(Drivers!$F$8:$F$13,B88),Control!$B$11)&lt;Control!$B$13,"BOOST","RACE"))))</x:f>
        <x:v>RACE</x:v>
      </x:c>
      <x:c r="F88" s="83" t="n">
        <x:f>IF(OR(E88="GRID",E88="FINISHED",E88="PIT"),0,MAX(Control!$B$15,(INDEX(Drivers!$D$8:$D$13,B88)+INDEX(Drivers!$E$8:$E$13,B88)*SIN((A88+INDEX(Drivers!$F$8:$F$13,B88)+Control!$B$16)*Control!$B$14))*INDEX(TrackMap!$M$8:$M$141,MOD(INT(D88)-1,Control!$B$7)+1)*IF(E88="BOOST",Control!$B$12,1)))</x:f>
        <x:v>3.0858313214469453</x:v>
      </x:c>
      <x:c r="G88" s="83" t="n">
        <x:f>IF(A88=0,D88,MIN(Control!$B$17,D88+F88))</x:f>
        <x:v>37.99171704379239</x:v>
      </x:c>
      <x:c r="H88" s="73" t="n">
        <x:f>MOD(INT(G88)-1,Control!$B$7)+1</x:f>
        <x:v>37</x:v>
      </x:c>
      <x:c r="I88" s="73" t="n">
        <x:f>MIN(Control!$B$6,MAX(1,INT(MAX(0,G88)/Control!$B$7)+1))</x:f>
        <x:v>1</x:v>
      </x:c>
      <x:c r="J88" s="73" t="n">
        <x:f>INDEX(Drivers!$H$8:$H$13,B88)</x:f>
        <x:v>1</x:v>
      </x:c>
      <x:c r="K88" s="73" t="n">
        <x:f>IF(J88=1,INDEX(TrackMap!$I$8:$I$141,H88),INDEX(TrackMap!$L$8:$L$141,H88))</x:f>
        <x:v>813</x:v>
      </x:c>
      <x:c r="L88" s="73" t="str">
        <x:f>INDEX(TrackMap!$F$8:$F$141,H88)</x:f>
        <x:v>→</x:v>
      </x:c>
      <x:c r="M88" s="87" t="n">
        <x:f>MAX(0,G88/Control!$B$17)</x:f>
        <x:v>0.056704055289242376</x:v>
      </x:c>
      <x:c r="N88" s="73" t="n">
        <x:f>IF(N82&gt;0,N82,IF(G88&gt;=Control!$B$17,A88,0))</x:f>
        <x:v>0</x:v>
      </x:c>
      <x:c r="O88" s="91" t="n">
        <x:f>IF(N88&gt;0,Control!$B$17+Control!$B$8+1-N88,G88)-B88/100000</x:f>
        <x:v>37.99168704379239</x:v>
      </x:c>
      <x:c r="P88" s="73" t="n">
        <x:f>COUNTIF($O$86:$O$91,"&gt;"&amp;O88)+1</x:f>
        <x:v>4</x:v>
      </x:c>
      <x:c r="Q88" s="83" t="n">
        <x:f>MAX($G$86:$G$91)-G88</x:f>
        <x:v>4.753489115913688</x:v>
      </x:c>
      <x:c r="R88" s="73" t="str">
        <x:f>INDEX(TrackMap!$B$8:$B$141,H88)</x:f>
        <x:v>西侧发卡弯</x:v>
      </x:c>
    </x:row>
    <x:row r="89" ht="20" customHeight="1">
      <x:c r="A89" s="73" t="n">
        <x:v>13</x:v>
      </x:c>
      <x:c r="B89" s="73" t="n">
        <x:v>4</x:v>
      </x:c>
      <x:c r="C89" s="73" t="str">
        <x:f>INDEX(Drivers!$B$8:$B$13,B89)</x:f>
        <x:v>紫影</x:v>
      </x:c>
      <x:c r="D89" s="83" t="n">
        <x:f>G83</x:f>
        <x:v>39.25996503666849</x:v>
      </x:c>
      <x:c r="E89" s="83" t="str">
        <x:f>IF(A89=0,"GRID",IF(D89&gt;=Control!$B$17,"FINISHED",IF(AND(A89&gt;=INDEX(Drivers!$G$8:$G$13,B89),A89&lt;INDEX(Drivers!$G$8:$G$13,B89)+INDEX(Drivers!$J$8:$J$13,B89)),"PIT",IF(MOD(A89+INDEX(Drivers!$F$8:$F$13,B89),Control!$B$11)&lt;Control!$B$13,"BOOST","RACE"))))</x:f>
        <x:v>RACE</x:v>
      </x:c>
      <x:c r="F89" s="83" t="n">
        <x:f>IF(OR(E89="GRID",E89="FINISHED",E89="PIT"),0,MAX(Control!$B$15,(INDEX(Drivers!$D$8:$D$13,B89)+INDEX(Drivers!$E$8:$E$13,B89)*SIN((A89+INDEX(Drivers!$F$8:$F$13,B89)+Control!$B$16)*Control!$B$14))*INDEX(TrackMap!$M$8:$M$141,MOD(INT(D89)-1,Control!$B$7)+1)*IF(E89="BOOST",Control!$B$12,1)))</x:f>
        <x:v>2.406982937267611</x:v>
      </x:c>
      <x:c r="G89" s="83" t="n">
        <x:f>IF(A89=0,D89,MIN(Control!$B$17,D89+F89))</x:f>
        <x:v>41.666947973936104</x:v>
      </x:c>
      <x:c r="H89" s="73" t="n">
        <x:f>MOD(INT(G89)-1,Control!$B$7)+1</x:f>
        <x:v>41</x:v>
      </x:c>
      <x:c r="I89" s="73" t="n">
        <x:f>MIN(Control!$B$6,MAX(1,INT(MAX(0,G89)/Control!$B$7)+1))</x:f>
        <x:v>1</x:v>
      </x:c>
      <x:c r="J89" s="73" t="n">
        <x:f>INDEX(Drivers!$H$8:$H$13,B89)</x:f>
        <x:v>2</x:v>
      </x:c>
      <x:c r="K89" s="73" t="n">
        <x:f>IF(J89=1,INDEX(TrackMap!$I$8:$I$141,H89),INDEX(TrackMap!$L$8:$L$141,H89))</x:f>
        <x:v>917</x:v>
      </x:c>
      <x:c r="L89" s="73" t="str">
        <x:f>INDEX(TrackMap!$F$8:$F$141,H89)</x:f>
        <x:v>→</x:v>
      </x:c>
      <x:c r="M89" s="87" t="n">
        <x:f>MAX(0,G89/Control!$B$17)</x:f>
        <x:v>0.06218947458796433</x:v>
      </x:c>
      <x:c r="N89" s="73" t="n">
        <x:f>IF(N83&gt;0,N83,IF(G89&gt;=Control!$B$17,A89,0))</x:f>
        <x:v>0</x:v>
      </x:c>
      <x:c r="O89" s="91" t="n">
        <x:f>IF(N89&gt;0,Control!$B$17+Control!$B$8+1-N89,G89)-B89/100000</x:f>
        <x:v>41.666907973936105</x:v>
      </x:c>
      <x:c r="P89" s="73" t="n">
        <x:f>COUNTIF($O$86:$O$91,"&gt;"&amp;O89)+1</x:f>
        <x:v>2</x:v>
      </x:c>
      <x:c r="Q89" s="83" t="n">
        <x:f>MAX($G$86:$G$91)-G89</x:f>
        <x:v>1.0782581857699753</x:v>
      </x:c>
      <x:c r="R89" s="73" t="str">
        <x:f>INDEX(TrackMap!$B$8:$B$141,H89)</x:f>
        <x:v>西侧发卡弯</x:v>
      </x:c>
    </x:row>
    <x:row r="90" ht="20" customHeight="1">
      <x:c r="A90" s="73" t="n">
        <x:v>13</x:v>
      </x:c>
      <x:c r="B90" s="73" t="n">
        <x:v>5</x:v>
      </x:c>
      <x:c r="C90" s="73" t="str">
        <x:f>INDEX(Drivers!$B$8:$B$13,B90)</x:f>
        <x:v>青锋</x:v>
      </x:c>
      <x:c r="D90" s="83" t="n">
        <x:f>G84</x:f>
        <x:v>32.41975378746115</x:v>
      </x:c>
      <x:c r="E90" s="83" t="str">
        <x:f>IF(A90=0,"GRID",IF(D90&gt;=Control!$B$17,"FINISHED",IF(AND(A90&gt;=INDEX(Drivers!$G$8:$G$13,B90),A90&lt;INDEX(Drivers!$G$8:$G$13,B90)+INDEX(Drivers!$J$8:$J$13,B90)),"PIT",IF(MOD(A90+INDEX(Drivers!$F$8:$F$13,B90),Control!$B$11)&lt;Control!$B$13,"BOOST","RACE"))))</x:f>
        <x:v>RACE</x:v>
      </x:c>
      <x:c r="F90" s="83" t="n">
        <x:f>IF(OR(E90="GRID",E90="FINISHED",E90="PIT"),0,MAX(Control!$B$15,(INDEX(Drivers!$D$8:$D$13,B90)+INDEX(Drivers!$E$8:$E$13,B90)*SIN((A90+INDEX(Drivers!$F$8:$F$13,B90)+Control!$B$16)*Control!$B$14))*INDEX(TrackMap!$M$8:$M$141,MOD(INT(D90)-1,Control!$B$7)+1)*IF(E90="BOOST",Control!$B$12,1)))</x:f>
        <x:v>3.1674312862528673</x:v>
      </x:c>
      <x:c r="G90" s="83" t="n">
        <x:f>IF(A90=0,D90,MIN(Control!$B$17,D90+F90))</x:f>
        <x:v>35.58718507371401</x:v>
      </x:c>
      <x:c r="H90" s="73" t="n">
        <x:f>MOD(INT(G90)-1,Control!$B$7)+1</x:f>
        <x:v>35</x:v>
      </x:c>
      <x:c r="I90" s="73" t="n">
        <x:f>MIN(Control!$B$6,MAX(1,INT(MAX(0,G90)/Control!$B$7)+1))</x:f>
        <x:v>1</x:v>
      </x:c>
      <x:c r="J90" s="73" t="n">
        <x:f>INDEX(Drivers!$H$8:$H$13,B90)</x:f>
        <x:v>1</x:v>
      </x:c>
      <x:c r="K90" s="73" t="n">
        <x:f>IF(J90=1,INDEX(TrackMap!$I$8:$I$141,H90),INDEX(TrackMap!$L$8:$L$141,H90))</x:f>
        <x:v>1010</x:v>
      </x:c>
      <x:c r="L90" s="73" t="str">
        <x:f>INDEX(TrackMap!$F$8:$F$141,H90)</x:f>
        <x:v>↑</x:v>
      </x:c>
      <x:c r="M90" s="87" t="n">
        <x:f>MAX(0,G90/Control!$B$17)</x:f>
        <x:v>0.053115201602558226</x:v>
      </x:c>
      <x:c r="N90" s="73" t="n">
        <x:f>IF(N84&gt;0,N84,IF(G90&gt;=Control!$B$17,A90,0))</x:f>
        <x:v>0</x:v>
      </x:c>
      <x:c r="O90" s="91" t="n">
        <x:f>IF(N90&gt;0,Control!$B$17+Control!$B$8+1-N90,G90)-B90/100000</x:f>
        <x:v>35.58713507371401</x:v>
      </x:c>
      <x:c r="P90" s="73" t="n">
        <x:f>COUNTIF($O$86:$O$91,"&gt;"&amp;O90)+1</x:f>
        <x:v>5</x:v>
      </x:c>
      <x:c r="Q90" s="83" t="n">
        <x:f>MAX($G$86:$G$91)-G90</x:f>
        <x:v>7.158021085992068</x:v>
      </x:c>
      <x:c r="R90" s="73" t="str">
        <x:f>INDEX(TrackMap!$B$8:$B$141,H90)</x:f>
        <x:v>西侧上坡弯</x:v>
      </x:c>
    </x:row>
    <x:row r="91" ht="20" customHeight="1">
      <x:c r="A91" s="73" t="n">
        <x:v>13</x:v>
      </x:c>
      <x:c r="B91" s="73" t="n">
        <x:v>6</x:v>
      </x:c>
      <x:c r="C91" s="73" t="str">
        <x:f>INDEX(Drivers!$B$8:$B$13,B91)</x:f>
        <x:v>玫速</x:v>
      </x:c>
      <x:c r="D91" s="83" t="n">
        <x:f>G85</x:f>
        <x:v>28.09037978963746</x:v>
      </x:c>
      <x:c r="E91" s="83" t="str">
        <x:f>IF(A91=0,"GRID",IF(D91&gt;=Control!$B$17,"FINISHED",IF(AND(A91&gt;=INDEX(Drivers!$G$8:$G$13,B91),A91&lt;INDEX(Drivers!$G$8:$G$13,B91)+INDEX(Drivers!$J$8:$J$13,B91)),"PIT",IF(MOD(A91+INDEX(Drivers!$F$8:$F$13,B91),Control!$B$11)&lt;Control!$B$13,"BOOST","RACE"))))</x:f>
        <x:v>RACE</x:v>
      </x:c>
      <x:c r="F91" s="83" t="n">
        <x:f>IF(OR(E91="GRID",E91="FINISHED",E91="PIT"),0,MAX(Control!$B$15,(INDEX(Drivers!$D$8:$D$13,B91)+INDEX(Drivers!$E$8:$E$13,B91)*SIN((A91+INDEX(Drivers!$F$8:$F$13,B91)+Control!$B$16)*Control!$B$14))*INDEX(TrackMap!$M$8:$M$141,MOD(INT(D91)-1,Control!$B$7)+1)*IF(E91="BOOST",Control!$B$12,1)))</x:f>
        <x:v>4.2782144652542</x:v>
      </x:c>
      <x:c r="G91" s="83" t="n">
        <x:f>IF(A91=0,D91,MIN(Control!$B$17,D91+F91))</x:f>
        <x:v>32.36859425489166</x:v>
      </x:c>
      <x:c r="H91" s="73" t="n">
        <x:f>MOD(INT(G91)-1,Control!$B$7)+1</x:f>
        <x:v>32</x:v>
      </x:c>
      <x:c r="I91" s="73" t="n">
        <x:f>MIN(Control!$B$6,MAX(1,INT(MAX(0,G91)/Control!$B$7)+1))</x:f>
        <x:v>1</x:v>
      </x:c>
      <x:c r="J91" s="73" t="n">
        <x:f>INDEX(Drivers!$H$8:$H$13,B91)</x:f>
        <x:v>2</x:v>
      </x:c>
      <x:c r="K91" s="73" t="n">
        <x:f>IF(J91=1,INDEX(TrackMap!$I$8:$I$141,H91),INDEX(TrackMap!$L$8:$L$141,H91))</x:f>
        <x:v>1311</x:v>
      </x:c>
      <x:c r="L91" s="73" t="str">
        <x:f>INDEX(TrackMap!$F$8:$F$141,H91)</x:f>
        <x:v>↑</x:v>
      </x:c>
      <x:c r="M91" s="87" t="n">
        <x:f>MAX(0,G91/Control!$B$17)</x:f>
        <x:v>0.04831133470879352</x:v>
      </x:c>
      <x:c r="N91" s="73" t="n">
        <x:f>IF(N85&gt;0,N85,IF(G91&gt;=Control!$B$17,A91,0))</x:f>
        <x:v>0</x:v>
      </x:c>
      <x:c r="O91" s="91" t="n">
        <x:f>IF(N91&gt;0,Control!$B$17+Control!$B$8+1-N91,G91)-B91/100000</x:f>
        <x:v>32.368534254891664</x:v>
      </x:c>
      <x:c r="P91" s="73" t="n">
        <x:f>COUNTIF($O$86:$O$91,"&gt;"&amp;O91)+1</x:f>
        <x:v>6</x:v>
      </x:c>
      <x:c r="Q91" s="83" t="n">
        <x:f>MAX($G$86:$G$91)-G91</x:f>
        <x:v>10.376611904814418</x:v>
      </x:c>
      <x:c r="R91" s="73" t="str">
        <x:f>INDEX(TrackMap!$B$8:$B$141,H91)</x:f>
        <x:v>西侧上坡弯</x:v>
      </x:c>
    </x:row>
    <x:row r="92" ht="20" customHeight="1">
      <x:c r="A92" s="73" t="n">
        <x:v>14</x:v>
      </x:c>
      <x:c r="B92" s="73" t="n">
        <x:v>1</x:v>
      </x:c>
      <x:c r="C92" s="73" t="str">
        <x:f>INDEX(Drivers!$B$8:$B$13,B92)</x:f>
        <x:v>赤焰</x:v>
      </x:c>
      <x:c r="D92" s="83" t="n">
        <x:f>G86</x:f>
        <x:v>42.74520615970608</x:v>
      </x:c>
      <x:c r="E92" s="83" t="str">
        <x:f>IF(A92=0,"GRID",IF(D92&gt;=Control!$B$17,"FINISHED",IF(AND(A92&gt;=INDEX(Drivers!$G$8:$G$13,B92),A92&lt;INDEX(Drivers!$G$8:$G$13,B92)+INDEX(Drivers!$J$8:$J$13,B92)),"PIT",IF(MOD(A92+INDEX(Drivers!$F$8:$F$13,B92),Control!$B$11)&lt;Control!$B$13,"BOOST","RACE"))))</x:f>
        <x:v>RACE</x:v>
      </x:c>
      <x:c r="F92" s="83" t="n">
        <x:f>IF(OR(E92="GRID",E92="FINISHED",E92="PIT"),0,MAX(Control!$B$15,(INDEX(Drivers!$D$8:$D$13,B92)+INDEX(Drivers!$E$8:$E$13,B92)*SIN((A92+INDEX(Drivers!$F$8:$F$13,B92)+Control!$B$16)*Control!$B$14))*INDEX(TrackMap!$M$8:$M$141,MOD(INT(D92)-1,Control!$B$7)+1)*IF(E92="BOOST",Control!$B$12,1)))</x:f>
        <x:v>2.5017704399259726</x:v>
      </x:c>
      <x:c r="G92" s="83" t="n">
        <x:f>IF(A92=0,D92,MIN(Control!$B$17,D92+F92))</x:f>
        <x:v>45.24697659963205</x:v>
      </x:c>
      <x:c r="H92" s="73" t="n">
        <x:f>MOD(INT(G92)-1,Control!$B$7)+1</x:f>
        <x:v>45</x:v>
      </x:c>
      <x:c r="I92" s="73" t="n">
        <x:f>MIN(Control!$B$6,MAX(1,INT(MAX(0,G92)/Control!$B$7)+1))</x:f>
        <x:v>1</x:v>
      </x:c>
      <x:c r="J92" s="73" t="n">
        <x:f>INDEX(Drivers!$H$8:$H$13,B92)</x:f>
        <x:v>1</x:v>
      </x:c>
      <x:c r="K92" s="73" t="n">
        <x:f>IF(J92=1,INDEX(TrackMap!$I$8:$I$141,H92),INDEX(TrackMap!$L$8:$L$141,H92))</x:f>
        <x:v>1219</x:v>
      </x:c>
      <x:c r="L92" s="73" t="str">
        <x:f>INDEX(TrackMap!$F$8:$F$141,H92)</x:f>
        <x:v>↓</x:v>
      </x:c>
      <x:c r="M92" s="87" t="n">
        <x:f>MAX(0,G92/Control!$B$17)</x:f>
        <x:v>0.06753280089497321</x:v>
      </x:c>
      <x:c r="N92" s="73" t="n">
        <x:f>IF(N86&gt;0,N86,IF(G92&gt;=Control!$B$17,A92,0))</x:f>
        <x:v>0</x:v>
      </x:c>
      <x:c r="O92" s="91" t="n">
        <x:f>IF(N92&gt;0,Control!$B$17+Control!$B$8+1-N92,G92)-B92/100000</x:f>
        <x:v>45.246966599632046</x:v>
      </x:c>
      <x:c r="P92" s="73" t="n">
        <x:f>COUNTIF($O$92:$O$97,"&gt;"&amp;O92)+1</x:f>
        <x:v>1</x:v>
      </x:c>
      <x:c r="Q92" s="83" t="n">
        <x:f>MAX($G$92:$G$97)-G92</x:f>
        <x:v>0</x:v>
      </x:c>
      <x:c r="R92" s="73" t="str">
        <x:f>INDEX(TrackMap!$B$8:$B$141,H92)</x:f>
        <x:v>中段下行弯</x:v>
      </x:c>
    </x:row>
    <x:row r="93" ht="20" customHeight="1">
      <x:c r="A93" s="73" t="n">
        <x:v>14</x:v>
      </x:c>
      <x:c r="B93" s="73" t="n">
        <x:v>2</x:v>
      </x:c>
      <x:c r="C93" s="73" t="str">
        <x:f>INDEX(Drivers!$B$8:$B$13,B93)</x:f>
        <x:v>蓝电</x:v>
      </x:c>
      <x:c r="D93" s="83" t="n">
        <x:f>G87</x:f>
        <x:v>38.49661129792579</x:v>
      </x:c>
      <x:c r="E93" s="83" t="str">
        <x:f>IF(A93=0,"GRID",IF(D93&gt;=Control!$B$17,"FINISHED",IF(AND(A93&gt;=INDEX(Drivers!$G$8:$G$13,B93),A93&lt;INDEX(Drivers!$G$8:$G$13,B93)+INDEX(Drivers!$J$8:$J$13,B93)),"PIT",IF(MOD(A93+INDEX(Drivers!$F$8:$F$13,B93),Control!$B$11)&lt;Control!$B$13,"BOOST","RACE"))))</x:f>
        <x:v>RACE</x:v>
      </x:c>
      <x:c r="F93" s="83" t="n">
        <x:f>IF(OR(E93="GRID",E93="FINISHED",E93="PIT"),0,MAX(Control!$B$15,(INDEX(Drivers!$D$8:$D$13,B93)+INDEX(Drivers!$E$8:$E$13,B93)*SIN((A93+INDEX(Drivers!$F$8:$F$13,B93)+Control!$B$16)*Control!$B$14))*INDEX(TrackMap!$M$8:$M$141,MOD(INT(D93)-1,Control!$B$7)+1)*IF(E93="BOOST",Control!$B$12,1)))</x:f>
        <x:v>2.967567018536214</x:v>
      </x:c>
      <x:c r="G93" s="83" t="n">
        <x:f>IF(A93=0,D93,MIN(Control!$B$17,D93+F93))</x:f>
        <x:v>41.464178316462004</x:v>
      </x:c>
      <x:c r="H93" s="73" t="n">
        <x:f>MOD(INT(G93)-1,Control!$B$7)+1</x:f>
        <x:v>41</x:v>
      </x:c>
      <x:c r="I93" s="73" t="n">
        <x:f>MIN(Control!$B$6,MAX(1,INT(MAX(0,G93)/Control!$B$7)+1))</x:f>
        <x:v>1</x:v>
      </x:c>
      <x:c r="J93" s="73" t="n">
        <x:f>INDEX(Drivers!$H$8:$H$13,B93)</x:f>
        <x:v>2</x:v>
      </x:c>
      <x:c r="K93" s="73" t="n">
        <x:f>IF(J93=1,INDEX(TrackMap!$I$8:$I$141,H93),INDEX(TrackMap!$L$8:$L$141,H93))</x:f>
        <x:v>917</x:v>
      </x:c>
      <x:c r="L93" s="73" t="str">
        <x:f>INDEX(TrackMap!$F$8:$F$141,H93)</x:f>
        <x:v>→</x:v>
      </x:c>
      <x:c r="M93" s="87" t="n">
        <x:f>MAX(0,G93/Control!$B$17)</x:f>
        <x:v>0.06188683330815224</x:v>
      </x:c>
      <x:c r="N93" s="73" t="n">
        <x:f>IF(N87&gt;0,N87,IF(G93&gt;=Control!$B$17,A93,0))</x:f>
        <x:v>0</x:v>
      </x:c>
      <x:c r="O93" s="91" t="n">
        <x:f>IF(N93&gt;0,Control!$B$17+Control!$B$8+1-N93,G93)-B93/100000</x:f>
        <x:v>41.464158316462004</x:v>
      </x:c>
      <x:c r="P93" s="73" t="n">
        <x:f>COUNTIF($O$92:$O$97,"&gt;"&amp;O93)+1</x:f>
        <x:v>4</x:v>
      </x:c>
      <x:c r="Q93" s="83" t="n">
        <x:f>MAX($G$92:$G$97)-G93</x:f>
        <x:v>3.7827982831700453</x:v>
      </x:c>
      <x:c r="R93" s="73" t="str">
        <x:f>INDEX(TrackMap!$B$8:$B$141,H93)</x:f>
        <x:v>西侧发卡弯</x:v>
      </x:c>
    </x:row>
    <x:row r="94" ht="20" customHeight="1">
      <x:c r="A94" s="73" t="n">
        <x:v>14</x:v>
      </x:c>
      <x:c r="B94" s="73" t="n">
        <x:v>3</x:v>
      </x:c>
      <x:c r="C94" s="73" t="str">
        <x:f>INDEX(Drivers!$B$8:$B$13,B94)</x:f>
        <x:v>金翼</x:v>
      </x:c>
      <x:c r="D94" s="83" t="n">
        <x:f>G88</x:f>
        <x:v>37.99171704379239</x:v>
      </x:c>
      <x:c r="E94" s="83" t="str">
        <x:f>IF(A94=0,"GRID",IF(D94&gt;=Control!$B$17,"FINISHED",IF(AND(A94&gt;=INDEX(Drivers!$G$8:$G$13,B94),A94&lt;INDEX(Drivers!$G$8:$G$13,B94)+INDEX(Drivers!$J$8:$J$13,B94)),"PIT",IF(MOD(A94+INDEX(Drivers!$F$8:$F$13,B94),Control!$B$11)&lt;Control!$B$13,"BOOST","RACE"))))</x:f>
        <x:v>BOOST</x:v>
      </x:c>
      <x:c r="F94" s="83" t="n">
        <x:f>IF(OR(E94="GRID",E94="FINISHED",E94="PIT"),0,MAX(Control!$B$15,(INDEX(Drivers!$D$8:$D$13,B94)+INDEX(Drivers!$E$8:$E$13,B94)*SIN((A94+INDEX(Drivers!$F$8:$F$13,B94)+Control!$B$16)*Control!$B$14))*INDEX(TrackMap!$M$8:$M$141,MOD(INT(D94)-1,Control!$B$7)+1)*IF(E94="BOOST",Control!$B$12,1)))</x:f>
        <x:v>3.984117441359553</x:v>
      </x:c>
      <x:c r="G94" s="83" t="n">
        <x:f>IF(A94=0,D94,MIN(Control!$B$17,D94+F94))</x:f>
        <x:v>41.97583448515194</x:v>
      </x:c>
      <x:c r="H94" s="73" t="n">
        <x:f>MOD(INT(G94)-1,Control!$B$7)+1</x:f>
        <x:v>41</x:v>
      </x:c>
      <x:c r="I94" s="73" t="n">
        <x:f>MIN(Control!$B$6,MAX(1,INT(MAX(0,G94)/Control!$B$7)+1))</x:f>
        <x:v>1</x:v>
      </x:c>
      <x:c r="J94" s="73" t="n">
        <x:f>INDEX(Drivers!$H$8:$H$13,B94)</x:f>
        <x:v>1</x:v>
      </x:c>
      <x:c r="K94" s="73" t="n">
        <x:f>IF(J94=1,INDEX(TrackMap!$I$8:$I$141,H94),INDEX(TrackMap!$L$8:$L$141,H94))</x:f>
        <x:v>817</x:v>
      </x:c>
      <x:c r="L94" s="73" t="str">
        <x:f>INDEX(TrackMap!$F$8:$F$141,H94)</x:f>
        <x:v>→</x:v>
      </x:c>
      <x:c r="M94" s="87" t="n">
        <x:f>MAX(0,G94/Control!$B$17)</x:f>
        <x:v>0.06265049923157007</x:v>
      </x:c>
      <x:c r="N94" s="73" t="n">
        <x:f>IF(N88&gt;0,N88,IF(G94&gt;=Control!$B$17,A94,0))</x:f>
        <x:v>0</x:v>
      </x:c>
      <x:c r="O94" s="91" t="n">
        <x:f>IF(N94&gt;0,Control!$B$17+Control!$B$8+1-N94,G94)-B94/100000</x:f>
        <x:v>41.97580448515194</x:v>
      </x:c>
      <x:c r="P94" s="73" t="n">
        <x:f>COUNTIF($O$92:$O$97,"&gt;"&amp;O94)+1</x:f>
        <x:v>3</x:v>
      </x:c>
      <x:c r="Q94" s="83" t="n">
        <x:f>MAX($G$92:$G$97)-G94</x:f>
        <x:v>3.2711421144801065</x:v>
      </x:c>
      <x:c r="R94" s="73" t="str">
        <x:f>INDEX(TrackMap!$B$8:$B$141,H94)</x:f>
        <x:v>西侧发卡弯</x:v>
      </x:c>
    </x:row>
    <x:row r="95" ht="20" customHeight="1">
      <x:c r="A95" s="73" t="n">
        <x:v>14</x:v>
      </x:c>
      <x:c r="B95" s="73" t="n">
        <x:v>4</x:v>
      </x:c>
      <x:c r="C95" s="73" t="str">
        <x:f>INDEX(Drivers!$B$8:$B$13,B95)</x:f>
        <x:v>紫影</x:v>
      </x:c>
      <x:c r="D95" s="83" t="n">
        <x:f>G89</x:f>
        <x:v>41.666947973936104</x:v>
      </x:c>
      <x:c r="E95" s="83" t="str">
        <x:f>IF(A95=0,"GRID",IF(D95&gt;=Control!$B$17,"FINISHED",IF(AND(A95&gt;=INDEX(Drivers!$G$8:$G$13,B95),A95&lt;INDEX(Drivers!$G$8:$G$13,B95)+INDEX(Drivers!$J$8:$J$13,B95)),"PIT",IF(MOD(A95+INDEX(Drivers!$F$8:$F$13,B95),Control!$B$11)&lt;Control!$B$13,"BOOST","RACE"))))</x:f>
        <x:v>RACE</x:v>
      </x:c>
      <x:c r="F95" s="83" t="n">
        <x:f>IF(OR(E95="GRID",E95="FINISHED",E95="PIT"),0,MAX(Control!$B$15,(INDEX(Drivers!$D$8:$D$13,B95)+INDEX(Drivers!$E$8:$E$13,B95)*SIN((A95+INDEX(Drivers!$F$8:$F$13,B95)+Control!$B$16)*Control!$B$14))*INDEX(TrackMap!$M$8:$M$141,MOD(INT(D95)-1,Control!$B$7)+1)*IF(E95="BOOST",Control!$B$12,1)))</x:f>
        <x:v>2.5098454424037846</x:v>
      </x:c>
      <x:c r="G95" s="83" t="n">
        <x:f>IF(A95=0,D95,MIN(Control!$B$17,D95+F95))</x:f>
        <x:v>44.17679341633989</x:v>
      </x:c>
      <x:c r="H95" s="73" t="n">
        <x:f>MOD(INT(G95)-1,Control!$B$7)+1</x:f>
        <x:v>44</x:v>
      </x:c>
      <x:c r="I95" s="73" t="n">
        <x:f>MIN(Control!$B$6,MAX(1,INT(MAX(0,G95)/Control!$B$7)+1))</x:f>
        <x:v>1</x:v>
      </x:c>
      <x:c r="J95" s="73" t="n">
        <x:f>INDEX(Drivers!$H$8:$H$13,B95)</x:f>
        <x:v>2</x:v>
      </x:c>
      <x:c r="K95" s="73" t="n">
        <x:f>IF(J95=1,INDEX(TrackMap!$I$8:$I$141,H95),INDEX(TrackMap!$L$8:$L$141,H95))</x:f>
        <x:v>1120</x:v>
      </x:c>
      <x:c r="L95" s="73" t="str">
        <x:f>INDEX(TrackMap!$F$8:$F$141,H95)</x:f>
        <x:v>↓</x:v>
      </x:c>
      <x:c r="M95" s="87" t="n">
        <x:f>MAX(0,G95/Control!$B$17)</x:f>
        <x:v>0.06593551256170133</x:v>
      </x:c>
      <x:c r="N95" s="73" t="n">
        <x:f>IF(N89&gt;0,N89,IF(G95&gt;=Control!$B$17,A95,0))</x:f>
        <x:v>0</x:v>
      </x:c>
      <x:c r="O95" s="91" t="n">
        <x:f>IF(N95&gt;0,Control!$B$17+Control!$B$8+1-N95,G95)-B95/100000</x:f>
        <x:v>44.17675341633989</x:v>
      </x:c>
      <x:c r="P95" s="73" t="n">
        <x:f>COUNTIF($O$92:$O$97,"&gt;"&amp;O95)+1</x:f>
        <x:v>2</x:v>
      </x:c>
      <x:c r="Q95" s="83" t="n">
        <x:f>MAX($G$92:$G$97)-G95</x:f>
        <x:v>1.0701831832921584</x:v>
      </x:c>
      <x:c r="R95" s="73" t="str">
        <x:f>INDEX(TrackMap!$B$8:$B$141,H95)</x:f>
        <x:v>中段下行弯</x:v>
      </x:c>
    </x:row>
    <x:row r="96" ht="20" customHeight="1">
      <x:c r="A96" s="73" t="n">
        <x:v>14</x:v>
      </x:c>
      <x:c r="B96" s="73" t="n">
        <x:v>5</x:v>
      </x:c>
      <x:c r="C96" s="73" t="str">
        <x:f>INDEX(Drivers!$B$8:$B$13,B96)</x:f>
        <x:v>青锋</x:v>
      </x:c>
      <x:c r="D96" s="83" t="n">
        <x:f>G90</x:f>
        <x:v>35.58718507371401</x:v>
      </x:c>
      <x:c r="E96" s="83" t="str">
        <x:f>IF(A96=0,"GRID",IF(D96&gt;=Control!$B$17,"FINISHED",IF(AND(A96&gt;=INDEX(Drivers!$G$8:$G$13,B96),A96&lt;INDEX(Drivers!$G$8:$G$13,B96)+INDEX(Drivers!$J$8:$J$13,B96)),"PIT",IF(MOD(A96+INDEX(Drivers!$F$8:$F$13,B96),Control!$B$11)&lt;Control!$B$13,"BOOST","RACE"))))</x:f>
        <x:v>RACE</x:v>
      </x:c>
      <x:c r="F96" s="83" t="n">
        <x:f>IF(OR(E96="GRID",E96="FINISHED",E96="PIT"),0,MAX(Control!$B$15,(INDEX(Drivers!$D$8:$D$13,B96)+INDEX(Drivers!$E$8:$E$13,B96)*SIN((A96+INDEX(Drivers!$F$8:$F$13,B96)+Control!$B$16)*Control!$B$14))*INDEX(TrackMap!$M$8:$M$141,MOD(INT(D96)-1,Control!$B$7)+1)*IF(E96="BOOST",Control!$B$12,1)))</x:f>
        <x:v>2.5620164105402496</x:v>
      </x:c>
      <x:c r="G96" s="83" t="n">
        <x:f>IF(A96=0,D96,MIN(Control!$B$17,D96+F96))</x:f>
        <x:v>38.14920148425426</x:v>
      </x:c>
      <x:c r="H96" s="73" t="n">
        <x:f>MOD(INT(G96)-1,Control!$B$7)+1</x:f>
        <x:v>38</x:v>
      </x:c>
      <x:c r="I96" s="73" t="n">
        <x:f>MIN(Control!$B$6,MAX(1,INT(MAX(0,G96)/Control!$B$7)+1))</x:f>
        <x:v>1</x:v>
      </x:c>
      <x:c r="J96" s="73" t="n">
        <x:f>INDEX(Drivers!$H$8:$H$13,B96)</x:f>
        <x:v>1</x:v>
      </x:c>
      <x:c r="K96" s="73" t="n">
        <x:f>IF(J96=1,INDEX(TrackMap!$I$8:$I$141,H96),INDEX(TrackMap!$L$8:$L$141,H96))</x:f>
        <x:v>814</x:v>
      </x:c>
      <x:c r="L96" s="73" t="str">
        <x:f>INDEX(TrackMap!$F$8:$F$141,H96)</x:f>
        <x:v>→</x:v>
      </x:c>
      <x:c r="M96" s="87" t="n">
        <x:f>MAX(0,G96/Control!$B$17)</x:f>
        <x:v>0.05693910669291681</x:v>
      </x:c>
      <x:c r="N96" s="73" t="n">
        <x:f>IF(N90&gt;0,N90,IF(G96&gt;=Control!$B$17,A96,0))</x:f>
        <x:v>0</x:v>
      </x:c>
      <x:c r="O96" s="91" t="n">
        <x:f>IF(N96&gt;0,Control!$B$17+Control!$B$8+1-N96,G96)-B96/100000</x:f>
        <x:v>38.14915148425426</x:v>
      </x:c>
      <x:c r="P96" s="73" t="n">
        <x:f>COUNTIF($O$92:$O$97,"&gt;"&amp;O96)+1</x:f>
        <x:v>5</x:v>
      </x:c>
      <x:c r="Q96" s="83" t="n">
        <x:f>MAX($G$92:$G$97)-G96</x:f>
        <x:v>7.097775115377786</x:v>
      </x:c>
      <x:c r="R96" s="73" t="str">
        <x:f>INDEX(TrackMap!$B$8:$B$141,H96)</x:f>
        <x:v>西侧发卡弯</x:v>
      </x:c>
    </x:row>
    <x:row r="97" ht="20" customHeight="1">
      <x:c r="A97" s="73" t="n">
        <x:v>14</x:v>
      </x:c>
      <x:c r="B97" s="73" t="n">
        <x:v>6</x:v>
      </x:c>
      <x:c r="C97" s="73" t="str">
        <x:f>INDEX(Drivers!$B$8:$B$13,B97)</x:f>
        <x:v>玫速</x:v>
      </x:c>
      <x:c r="D97" s="83" t="n">
        <x:f>G91</x:f>
        <x:v>32.36859425489166</x:v>
      </x:c>
      <x:c r="E97" s="83" t="str">
        <x:f>IF(A97=0,"GRID",IF(D97&gt;=Control!$B$17,"FINISHED",IF(AND(A97&gt;=INDEX(Drivers!$G$8:$G$13,B97),A97&lt;INDEX(Drivers!$G$8:$G$13,B97)+INDEX(Drivers!$J$8:$J$13,B97)),"PIT",IF(MOD(A97+INDEX(Drivers!$F$8:$F$13,B97),Control!$B$11)&lt;Control!$B$13,"BOOST","RACE"))))</x:f>
        <x:v>RACE</x:v>
      </x:c>
      <x:c r="F97" s="83" t="n">
        <x:f>IF(OR(E97="GRID",E97="FINISHED",E97="PIT"),0,MAX(Control!$B$15,(INDEX(Drivers!$D$8:$D$13,B97)+INDEX(Drivers!$E$8:$E$13,B97)*SIN((A97+INDEX(Drivers!$F$8:$F$13,B97)+Control!$B$16)*Control!$B$14))*INDEX(TrackMap!$M$8:$M$141,MOD(INT(D97)-1,Control!$B$7)+1)*IF(E97="BOOST",Control!$B$12,1)))</x:f>
        <x:v>4.254457946947329</x:v>
      </x:c>
      <x:c r="G97" s="83" t="n">
        <x:f>IF(A97=0,D97,MIN(Control!$B$17,D97+F97))</x:f>
        <x:v>36.62305220183899</x:v>
      </x:c>
      <x:c r="H97" s="73" t="n">
        <x:f>MOD(INT(G97)-1,Control!$B$7)+1</x:f>
        <x:v>36</x:v>
      </x:c>
      <x:c r="I97" s="73" t="n">
        <x:f>MIN(Control!$B$6,MAX(1,INT(MAX(0,G97)/Control!$B$7)+1))</x:f>
        <x:v>1</x:v>
      </x:c>
      <x:c r="J97" s="73" t="n">
        <x:f>INDEX(Drivers!$H$8:$H$13,B97)</x:f>
        <x:v>2</x:v>
      </x:c>
      <x:c r="K97" s="73" t="n">
        <x:f>IF(J97=1,INDEX(TrackMap!$I$8:$I$141,H97),INDEX(TrackMap!$L$8:$L$141,H97))</x:f>
        <x:v>912</x:v>
      </x:c>
      <x:c r="L97" s="73" t="str">
        <x:f>INDEX(TrackMap!$F$8:$F$141,H97)</x:f>
        <x:v>→</x:v>
      </x:c>
      <x:c r="M97" s="87" t="n">
        <x:f>MAX(0,G97/Control!$B$17)</x:f>
        <x:v>0.054661271943043266</x:v>
      </x:c>
      <x:c r="N97" s="73" t="n">
        <x:f>IF(N91&gt;0,N91,IF(G97&gt;=Control!$B$17,A97,0))</x:f>
        <x:v>0</x:v>
      </x:c>
      <x:c r="O97" s="91" t="n">
        <x:f>IF(N97&gt;0,Control!$B$17+Control!$B$8+1-N97,G97)-B97/100000</x:f>
        <x:v>36.62299220183899</x:v>
      </x:c>
      <x:c r="P97" s="73" t="n">
        <x:f>COUNTIF($O$92:$O$97,"&gt;"&amp;O97)+1</x:f>
        <x:v>6</x:v>
      </x:c>
      <x:c r="Q97" s="83" t="n">
        <x:f>MAX($G$92:$G$97)-G97</x:f>
        <x:v>8.623924397793061</x:v>
      </x:c>
      <x:c r="R97" s="73" t="str">
        <x:f>INDEX(TrackMap!$B$8:$B$141,H97)</x:f>
        <x:v>西侧发卡弯</x:v>
      </x:c>
    </x:row>
    <x:row r="98" ht="20" customHeight="1">
      <x:c r="A98" s="73" t="n">
        <x:v>15</x:v>
      </x:c>
      <x:c r="B98" s="73" t="n">
        <x:v>1</x:v>
      </x:c>
      <x:c r="C98" s="73" t="str">
        <x:f>INDEX(Drivers!$B$8:$B$13,B98)</x:f>
        <x:v>赤焰</x:v>
      </x:c>
      <x:c r="D98" s="83" t="n">
        <x:f>G92</x:f>
        <x:v>45.24697659963205</x:v>
      </x:c>
      <x:c r="E98" s="83" t="str">
        <x:f>IF(A98=0,"GRID",IF(D98&gt;=Control!$B$17,"FINISHED",IF(AND(A98&gt;=INDEX(Drivers!$G$8:$G$13,B98),A98&lt;INDEX(Drivers!$G$8:$G$13,B98)+INDEX(Drivers!$J$8:$J$13,B98)),"PIT",IF(MOD(A98+INDEX(Drivers!$F$8:$F$13,B98),Control!$B$11)&lt;Control!$B$13,"BOOST","RACE"))))</x:f>
        <x:v>RACE</x:v>
      </x:c>
      <x:c r="F98" s="83" t="n">
        <x:f>IF(OR(E98="GRID",E98="FINISHED",E98="PIT"),0,MAX(Control!$B$15,(INDEX(Drivers!$D$8:$D$13,B98)+INDEX(Drivers!$E$8:$E$13,B98)*SIN((A98+INDEX(Drivers!$F$8:$F$13,B98)+Control!$B$16)*Control!$B$14))*INDEX(TrackMap!$M$8:$M$141,MOD(INT(D98)-1,Control!$B$7)+1)*IF(E98="BOOST",Control!$B$12,1)))</x:f>
        <x:v>2.4330399118124166</x:v>
      </x:c>
      <x:c r="G98" s="83" t="n">
        <x:f>IF(A98=0,D98,MIN(Control!$B$17,D98+F98))</x:f>
        <x:v>47.680016511444464</x:v>
      </x:c>
      <x:c r="H98" s="73" t="n">
        <x:f>MOD(INT(G98)-1,Control!$B$7)+1</x:f>
        <x:v>47</x:v>
      </x:c>
      <x:c r="I98" s="73" t="n">
        <x:f>MIN(Control!$B$6,MAX(1,INT(MAX(0,G98)/Control!$B$7)+1))</x:f>
        <x:v>1</x:v>
      </x:c>
      <x:c r="J98" s="73" t="n">
        <x:f>INDEX(Drivers!$H$8:$H$13,B98)</x:f>
        <x:v>1</x:v>
      </x:c>
      <x:c r="K98" s="73" t="n">
        <x:f>IF(J98=1,INDEX(TrackMap!$I$8:$I$141,H98),INDEX(TrackMap!$L$8:$L$141,H98))</x:f>
        <x:v>1419</x:v>
      </x:c>
      <x:c r="L98" s="73" t="str">
        <x:f>INDEX(TrackMap!$F$8:$F$141,H98)</x:f>
        <x:v>↓</x:v>
      </x:c>
      <x:c r="M98" s="87" t="n">
        <x:f>MAX(0,G98/Control!$B$17)</x:f>
        <x:v>0.07116420374842457</x:v>
      </x:c>
      <x:c r="N98" s="73" t="n">
        <x:f>IF(N92&gt;0,N92,IF(G98&gt;=Control!$B$17,A98,0))</x:f>
        <x:v>0</x:v>
      </x:c>
      <x:c r="O98" s="91" t="n">
        <x:f>IF(N98&gt;0,Control!$B$17+Control!$B$8+1-N98,G98)-B98/100000</x:f>
        <x:v>47.68000651144446</x:v>
      </x:c>
      <x:c r="P98" s="73" t="n">
        <x:f>COUNTIF($O$98:$O$103,"&gt;"&amp;O98)+1</x:f>
        <x:v>1</x:v>
      </x:c>
      <x:c r="Q98" s="83" t="n">
        <x:f>MAX($G$98:$G$103)-G98</x:f>
        <x:v>0</x:v>
      </x:c>
      <x:c r="R98" s="73" t="str">
        <x:f>INDEX(TrackMap!$B$8:$B$141,H98)</x:f>
        <x:v>中段下行弯</x:v>
      </x:c>
    </x:row>
    <x:row r="99" ht="20" customHeight="1">
      <x:c r="A99" s="73" t="n">
        <x:v>15</x:v>
      </x:c>
      <x:c r="B99" s="73" t="n">
        <x:v>2</x:v>
      </x:c>
      <x:c r="C99" s="73" t="str">
        <x:f>INDEX(Drivers!$B$8:$B$13,B99)</x:f>
        <x:v>蓝电</x:v>
      </x:c>
      <x:c r="D99" s="83" t="n">
        <x:f>G93</x:f>
        <x:v>41.464178316462004</x:v>
      </x:c>
      <x:c r="E99" s="83" t="str">
        <x:f>IF(A99=0,"GRID",IF(D99&gt;=Control!$B$17,"FINISHED",IF(AND(A99&gt;=INDEX(Drivers!$G$8:$G$13,B99),A99&lt;INDEX(Drivers!$G$8:$G$13,B99)+INDEX(Drivers!$J$8:$J$13,B99)),"PIT",IF(MOD(A99+INDEX(Drivers!$F$8:$F$13,B99),Control!$B$11)&lt;Control!$B$13,"BOOST","RACE"))))</x:f>
        <x:v>RACE</x:v>
      </x:c>
      <x:c r="F99" s="83" t="n">
        <x:f>IF(OR(E99="GRID",E99="FINISHED",E99="PIT"),0,MAX(Control!$B$15,(INDEX(Drivers!$D$8:$D$13,B99)+INDEX(Drivers!$E$8:$E$13,B99)*SIN((A99+INDEX(Drivers!$F$8:$F$13,B99)+Control!$B$16)*Control!$B$14))*INDEX(TrackMap!$M$8:$M$141,MOD(INT(D99)-1,Control!$B$7)+1)*IF(E99="BOOST",Control!$B$12,1)))</x:f>
        <x:v>3.11264764785759</x:v>
      </x:c>
      <x:c r="G99" s="83" t="n">
        <x:f>IF(A99=0,D99,MIN(Control!$B$17,D99+F99))</x:f>
        <x:v>44.576825964319596</x:v>
      </x:c>
      <x:c r="H99" s="73" t="n">
        <x:f>MOD(INT(G99)-1,Control!$B$7)+1</x:f>
        <x:v>44</x:v>
      </x:c>
      <x:c r="I99" s="73" t="n">
        <x:f>MIN(Control!$B$6,MAX(1,INT(MAX(0,G99)/Control!$B$7)+1))</x:f>
        <x:v>1</x:v>
      </x:c>
      <x:c r="J99" s="73" t="n">
        <x:f>INDEX(Drivers!$H$8:$H$13,B99)</x:f>
        <x:v>2</x:v>
      </x:c>
      <x:c r="K99" s="73" t="n">
        <x:f>IF(J99=1,INDEX(TrackMap!$I$8:$I$141,H99),INDEX(TrackMap!$L$8:$L$141,H99))</x:f>
        <x:v>1120</x:v>
      </x:c>
      <x:c r="L99" s="73" t="str">
        <x:f>INDEX(TrackMap!$F$8:$F$141,H99)</x:f>
        <x:v>↓</x:v>
      </x:c>
      <x:c r="M99" s="87" t="n">
        <x:f>MAX(0,G99/Control!$B$17)</x:f>
        <x:v>0.06653257606614865</x:v>
      </x:c>
      <x:c r="N99" s="73" t="n">
        <x:f>IF(N93&gt;0,N93,IF(G99&gt;=Control!$B$17,A99,0))</x:f>
        <x:v>0</x:v>
      </x:c>
      <x:c r="O99" s="91" t="n">
        <x:f>IF(N99&gt;0,Control!$B$17+Control!$B$8+1-N99,G99)-B99/100000</x:f>
        <x:v>44.5768059643196</x:v>
      </x:c>
      <x:c r="P99" s="73" t="n">
        <x:f>COUNTIF($O$98:$O$103,"&gt;"&amp;O99)+1</x:f>
        <x:v>4</x:v>
      </x:c>
      <x:c r="Q99" s="83" t="n">
        <x:f>MAX($G$98:$G$103)-G99</x:f>
        <x:v>3.1031905471248677</x:v>
      </x:c>
      <x:c r="R99" s="73" t="str">
        <x:f>INDEX(TrackMap!$B$8:$B$141,H99)</x:f>
        <x:v>中段下行弯</x:v>
      </x:c>
    </x:row>
    <x:row r="100" ht="20" customHeight="1">
      <x:c r="A100" s="73" t="n">
        <x:v>15</x:v>
      </x:c>
      <x:c r="B100" s="73" t="n">
        <x:v>3</x:v>
      </x:c>
      <x:c r="C100" s="73" t="str">
        <x:f>INDEX(Drivers!$B$8:$B$13,B100)</x:f>
        <x:v>金翼</x:v>
      </x:c>
      <x:c r="D100" s="83" t="n">
        <x:f>G94</x:f>
        <x:v>41.97583448515194</x:v>
      </x:c>
      <x:c r="E100" s="83" t="str">
        <x:f>IF(A100=0,"GRID",IF(D100&gt;=Control!$B$17,"FINISHED",IF(AND(A100&gt;=INDEX(Drivers!$G$8:$G$13,B100),A100&lt;INDEX(Drivers!$G$8:$G$13,B100)+INDEX(Drivers!$J$8:$J$13,B100)),"PIT",IF(MOD(A100+INDEX(Drivers!$F$8:$F$13,B100),Control!$B$11)&lt;Control!$B$13,"BOOST","RACE"))))</x:f>
        <x:v>BOOST</x:v>
      </x:c>
      <x:c r="F100" s="83" t="n">
        <x:f>IF(OR(E100="GRID",E100="FINISHED",E100="PIT"),0,MAX(Control!$B$15,(INDEX(Drivers!$D$8:$D$13,B100)+INDEX(Drivers!$E$8:$E$13,B100)*SIN((A100+INDEX(Drivers!$F$8:$F$13,B100)+Control!$B$16)*Control!$B$14))*INDEX(TrackMap!$M$8:$M$141,MOD(INT(D100)-1,Control!$B$7)+1)*IF(E100="BOOST",Control!$B$12,1)))</x:f>
        <x:v>3.7904498509861964</x:v>
      </x:c>
      <x:c r="G100" s="83" t="n">
        <x:f>IF(A100=0,D100,MIN(Control!$B$17,D100+F100))</x:f>
        <x:v>45.76628433613814</x:v>
      </x:c>
      <x:c r="H100" s="73" t="n">
        <x:f>MOD(INT(G100)-1,Control!$B$7)+1</x:f>
        <x:v>45</x:v>
      </x:c>
      <x:c r="I100" s="73" t="n">
        <x:f>MIN(Control!$B$6,MAX(1,INT(MAX(0,G100)/Control!$B$7)+1))</x:f>
        <x:v>1</x:v>
      </x:c>
      <x:c r="J100" s="73" t="n">
        <x:f>INDEX(Drivers!$H$8:$H$13,B100)</x:f>
        <x:v>1</x:v>
      </x:c>
      <x:c r="K100" s="73" t="n">
        <x:f>IF(J100=1,INDEX(TrackMap!$I$8:$I$141,H100),INDEX(TrackMap!$L$8:$L$141,H100))</x:f>
        <x:v>1219</x:v>
      </x:c>
      <x:c r="L100" s="73" t="str">
        <x:f>INDEX(TrackMap!$F$8:$F$141,H100)</x:f>
        <x:v>↓</x:v>
      </x:c>
      <x:c r="M100" s="87" t="n">
        <x:f>MAX(0,G100/Control!$B$17)</x:f>
        <x:v>0.0683078870688629</x:v>
      </x:c>
      <x:c r="N100" s="73" t="n">
        <x:f>IF(N94&gt;0,N94,IF(G100&gt;=Control!$B$17,A100,0))</x:f>
        <x:v>0</x:v>
      </x:c>
      <x:c r="O100" s="91" t="n">
        <x:f>IF(N100&gt;0,Control!$B$17+Control!$B$8+1-N100,G100)-B100/100000</x:f>
        <x:v>45.76625433613814</x:v>
      </x:c>
      <x:c r="P100" s="73" t="n">
        <x:f>COUNTIF($O$98:$O$103,"&gt;"&amp;O100)+1</x:f>
        <x:v>3</x:v>
      </x:c>
      <x:c r="Q100" s="83" t="n">
        <x:f>MAX($G$98:$G$103)-G100</x:f>
        <x:v>1.913732175306322</x:v>
      </x:c>
      <x:c r="R100" s="73" t="str">
        <x:f>INDEX(TrackMap!$B$8:$B$141,H100)</x:f>
        <x:v>中段下行弯</x:v>
      </x:c>
    </x:row>
    <x:row r="101" ht="20" customHeight="1">
      <x:c r="A101" s="73" t="n">
        <x:v>15</x:v>
      </x:c>
      <x:c r="B101" s="73" t="n">
        <x:v>4</x:v>
      </x:c>
      <x:c r="C101" s="73" t="str">
        <x:f>INDEX(Drivers!$B$8:$B$13,B101)</x:f>
        <x:v>紫影</x:v>
      </x:c>
      <x:c r="D101" s="83" t="n">
        <x:f>G95</x:f>
        <x:v>44.17679341633989</x:v>
      </x:c>
      <x:c r="E101" s="83" t="str">
        <x:f>IF(A101=0,"GRID",IF(D101&gt;=Control!$B$17,"FINISHED",IF(AND(A101&gt;=INDEX(Drivers!$G$8:$G$13,B101),A101&lt;INDEX(Drivers!$G$8:$G$13,B101)+INDEX(Drivers!$J$8:$J$13,B101)),"PIT",IF(MOD(A101+INDEX(Drivers!$F$8:$F$13,B101),Control!$B$11)&lt;Control!$B$13,"BOOST","RACE"))))</x:f>
        <x:v>RACE</x:v>
      </x:c>
      <x:c r="F101" s="83" t="n">
        <x:f>IF(OR(E101="GRID",E101="FINISHED",E101="PIT"),0,MAX(Control!$B$15,(INDEX(Drivers!$D$8:$D$13,B101)+INDEX(Drivers!$E$8:$E$13,B101)*SIN((A101+INDEX(Drivers!$F$8:$F$13,B101)+Control!$B$16)*Control!$B$14))*INDEX(TrackMap!$M$8:$M$141,MOD(INT(D101)-1,Control!$B$7)+1)*IF(E101="BOOST",Control!$B$12,1)))</x:f>
        <x:v>2.653061768204348</x:v>
      </x:c>
      <x:c r="G101" s="83" t="n">
        <x:f>IF(A101=0,D101,MIN(Control!$B$17,D101+F101))</x:f>
        <x:v>46.829855184544236</x:v>
      </x:c>
      <x:c r="H101" s="73" t="n">
        <x:f>MOD(INT(G101)-1,Control!$B$7)+1</x:f>
        <x:v>46</x:v>
      </x:c>
      <x:c r="I101" s="73" t="n">
        <x:f>MIN(Control!$B$6,MAX(1,INT(MAX(0,G101)/Control!$B$7)+1))</x:f>
        <x:v>1</x:v>
      </x:c>
      <x:c r="J101" s="73" t="n">
        <x:f>INDEX(Drivers!$H$8:$H$13,B101)</x:f>
        <x:v>2</x:v>
      </x:c>
      <x:c r="K101" s="73" t="n">
        <x:f>IF(J101=1,INDEX(TrackMap!$I$8:$I$141,H101),INDEX(TrackMap!$L$8:$L$141,H101))</x:f>
        <x:v>1320</x:v>
      </x:c>
      <x:c r="L101" s="73" t="str">
        <x:f>INDEX(TrackMap!$F$8:$F$141,H101)</x:f>
        <x:v>↓</x:v>
      </x:c>
      <x:c r="M101" s="87" t="n">
        <x:f>MAX(0,G101/Control!$B$17)</x:f>
        <x:v>0.06989530624558841</x:v>
      </x:c>
      <x:c r="N101" s="73" t="n">
        <x:f>IF(N95&gt;0,N95,IF(G101&gt;=Control!$B$17,A101,0))</x:f>
        <x:v>0</x:v>
      </x:c>
      <x:c r="O101" s="91" t="n">
        <x:f>IF(N101&gt;0,Control!$B$17+Control!$B$8+1-N101,G101)-B101/100000</x:f>
        <x:v>46.82981518454424</x:v>
      </x:c>
      <x:c r="P101" s="73" t="n">
        <x:f>COUNTIF($O$98:$O$103,"&gt;"&amp;O101)+1</x:f>
        <x:v>2</x:v>
      </x:c>
      <x:c r="Q101" s="83" t="n">
        <x:f>MAX($G$98:$G$103)-G101</x:f>
        <x:v>0.8501613269002277</x:v>
      </x:c>
      <x:c r="R101" s="73" t="str">
        <x:f>INDEX(TrackMap!$B$8:$B$141,H101)</x:f>
        <x:v>中段下行弯</x:v>
      </x:c>
    </x:row>
    <x:row r="102" ht="20" customHeight="1">
      <x:c r="A102" s="73" t="n">
        <x:v>15</x:v>
      </x:c>
      <x:c r="B102" s="73" t="n">
        <x:v>5</x:v>
      </x:c>
      <x:c r="C102" s="73" t="str">
        <x:f>INDEX(Drivers!$B$8:$B$13,B102)</x:f>
        <x:v>青锋</x:v>
      </x:c>
      <x:c r="D102" s="83" t="n">
        <x:f>G96</x:f>
        <x:v>38.14920148425426</x:v>
      </x:c>
      <x:c r="E102" s="83" t="str">
        <x:f>IF(A102=0,"GRID",IF(D102&gt;=Control!$B$17,"FINISHED",IF(AND(A102&gt;=INDEX(Drivers!$G$8:$G$13,B102),A102&lt;INDEX(Drivers!$G$8:$G$13,B102)+INDEX(Drivers!$J$8:$J$13,B102)),"PIT",IF(MOD(A102+INDEX(Drivers!$F$8:$F$13,B102),Control!$B$11)&lt;Control!$B$13,"BOOST","RACE"))))</x:f>
        <x:v>RACE</x:v>
      </x:c>
      <x:c r="F102" s="83" t="n">
        <x:f>IF(OR(E102="GRID",E102="FINISHED",E102="PIT"),0,MAX(Control!$B$15,(INDEX(Drivers!$D$8:$D$13,B102)+INDEX(Drivers!$E$8:$E$13,B102)*SIN((A102+INDEX(Drivers!$F$8:$F$13,B102)+Control!$B$16)*Control!$B$14))*INDEX(TrackMap!$M$8:$M$141,MOD(INT(D102)-1,Control!$B$7)+1)*IF(E102="BOOST",Control!$B$12,1)))</x:f>
        <x:v>2.689896222901093</x:v>
      </x:c>
      <x:c r="G102" s="83" t="n">
        <x:f>IF(A102=0,D102,MIN(Control!$B$17,D102+F102))</x:f>
        <x:v>40.839097707155354</x:v>
      </x:c>
      <x:c r="H102" s="73" t="n">
        <x:f>MOD(INT(G102)-1,Control!$B$7)+1</x:f>
        <x:v>40</x:v>
      </x:c>
      <x:c r="I102" s="73" t="n">
        <x:f>MIN(Control!$B$6,MAX(1,INT(MAX(0,G102)/Control!$B$7)+1))</x:f>
        <x:v>1</x:v>
      </x:c>
      <x:c r="J102" s="73" t="n">
        <x:f>INDEX(Drivers!$H$8:$H$13,B102)</x:f>
        <x:v>1</x:v>
      </x:c>
      <x:c r="K102" s="73" t="n">
        <x:f>IF(J102=1,INDEX(TrackMap!$I$8:$I$141,H102),INDEX(TrackMap!$L$8:$L$141,H102))</x:f>
        <x:v>816</x:v>
      </x:c>
      <x:c r="L102" s="73" t="str">
        <x:f>INDEX(TrackMap!$F$8:$F$141,H102)</x:f>
        <x:v>→</x:v>
      </x:c>
      <x:c r="M102" s="87" t="n">
        <x:f>MAX(0,G102/Control!$B$17)</x:f>
        <x:v>0.060953877174858735</x:v>
      </x:c>
      <x:c r="N102" s="73" t="n">
        <x:f>IF(N96&gt;0,N96,IF(G102&gt;=Control!$B$17,A102,0))</x:f>
        <x:v>0</x:v>
      </x:c>
      <x:c r="O102" s="91" t="n">
        <x:f>IF(N102&gt;0,Control!$B$17+Control!$B$8+1-N102,G102)-B102/100000</x:f>
        <x:v>40.83904770715535</x:v>
      </x:c>
      <x:c r="P102" s="73" t="n">
        <x:f>COUNTIF($O$98:$O$103,"&gt;"&amp;O102)+1</x:f>
        <x:v>5</x:v>
      </x:c>
      <x:c r="Q102" s="83" t="n">
        <x:f>MAX($G$98:$G$103)-G102</x:f>
        <x:v>6.84091880428911</x:v>
      </x:c>
      <x:c r="R102" s="73" t="str">
        <x:f>INDEX(TrackMap!$B$8:$B$141,H102)</x:f>
        <x:v>西侧发卡弯</x:v>
      </x:c>
    </x:row>
    <x:row r="103" ht="20" customHeight="1">
      <x:c r="A103" s="73" t="n">
        <x:v>15</x:v>
      </x:c>
      <x:c r="B103" s="73" t="n">
        <x:v>6</x:v>
      </x:c>
      <x:c r="C103" s="73" t="str">
        <x:f>INDEX(Drivers!$B$8:$B$13,B103)</x:f>
        <x:v>玫速</x:v>
      </x:c>
      <x:c r="D103" s="83" t="n">
        <x:f>G97</x:f>
        <x:v>36.62305220183899</x:v>
      </x:c>
      <x:c r="E103" s="83" t="str">
        <x:f>IF(A103=0,"GRID",IF(D103&gt;=Control!$B$17,"FINISHED",IF(AND(A103&gt;=INDEX(Drivers!$G$8:$G$13,B103),A103&lt;INDEX(Drivers!$G$8:$G$13,B103)+INDEX(Drivers!$J$8:$J$13,B103)),"PIT",IF(MOD(A103+INDEX(Drivers!$F$8:$F$13,B103),Control!$B$11)&lt;Control!$B$13,"BOOST","RACE"))))</x:f>
        <x:v>RACE</x:v>
      </x:c>
      <x:c r="F103" s="83" t="n">
        <x:f>IF(OR(E103="GRID",E103="FINISHED",E103="PIT"),0,MAX(Control!$B$15,(INDEX(Drivers!$D$8:$D$13,B103)+INDEX(Drivers!$E$8:$E$13,B103)*SIN((A103+INDEX(Drivers!$F$8:$F$13,B103)+Control!$B$16)*Control!$B$14))*INDEX(TrackMap!$M$8:$M$141,MOD(INT(D103)-1,Control!$B$7)+1)*IF(E103="BOOST",Control!$B$12,1)))</x:f>
        <x:v>3.2393019675316483</x:v>
      </x:c>
      <x:c r="G103" s="83" t="n">
        <x:f>IF(A103=0,D103,MIN(Control!$B$17,D103+F103))</x:f>
        <x:v>39.86235416937063</x:v>
      </x:c>
      <x:c r="H103" s="73" t="n">
        <x:f>MOD(INT(G103)-1,Control!$B$7)+1</x:f>
        <x:v>39</x:v>
      </x:c>
      <x:c r="I103" s="73" t="n">
        <x:f>MIN(Control!$B$6,MAX(1,INT(MAX(0,G103)/Control!$B$7)+1))</x:f>
        <x:v>1</x:v>
      </x:c>
      <x:c r="J103" s="73" t="n">
        <x:f>INDEX(Drivers!$H$8:$H$13,B103)</x:f>
        <x:v>2</x:v>
      </x:c>
      <x:c r="K103" s="73" t="n">
        <x:f>IF(J103=1,INDEX(TrackMap!$I$8:$I$141,H103),INDEX(TrackMap!$L$8:$L$141,H103))</x:f>
        <x:v>915</x:v>
      </x:c>
      <x:c r="L103" s="73" t="str">
        <x:f>INDEX(TrackMap!$F$8:$F$141,H103)</x:f>
        <x:v>→</x:v>
      </x:c>
      <x:c r="M103" s="87" t="n">
        <x:f>MAX(0,G103/Control!$B$17)</x:f>
        <x:v>0.05949605099906065</x:v>
      </x:c>
      <x:c r="N103" s="73" t="n">
        <x:f>IF(N97&gt;0,N97,IF(G103&gt;=Control!$B$17,A103,0))</x:f>
        <x:v>0</x:v>
      </x:c>
      <x:c r="O103" s="91" t="n">
        <x:f>IF(N103&gt;0,Control!$B$17+Control!$B$8+1-N103,G103)-B103/100000</x:f>
        <x:v>39.862294169370635</x:v>
      </x:c>
      <x:c r="P103" s="73" t="n">
        <x:f>COUNTIF($O$98:$O$103,"&gt;"&amp;O103)+1</x:f>
        <x:v>6</x:v>
      </x:c>
      <x:c r="Q103" s="83" t="n">
        <x:f>MAX($G$98:$G$103)-G103</x:f>
        <x:v>7.817662342073831</x:v>
      </x:c>
      <x:c r="R103" s="73" t="str">
        <x:f>INDEX(TrackMap!$B$8:$B$141,H103)</x:f>
        <x:v>西侧发卡弯</x:v>
      </x:c>
    </x:row>
    <x:row r="104" ht="20" customHeight="1">
      <x:c r="A104" s="73" t="n">
        <x:v>16</x:v>
      </x:c>
      <x:c r="B104" s="73" t="n">
        <x:v>1</x:v>
      </x:c>
      <x:c r="C104" s="73" t="str">
        <x:f>INDEX(Drivers!$B$8:$B$13,B104)</x:f>
        <x:v>赤焰</x:v>
      </x:c>
      <x:c r="D104" s="83" t="n">
        <x:f>G98</x:f>
        <x:v>47.680016511444464</x:v>
      </x:c>
      <x:c r="E104" s="83" t="str">
        <x:f>IF(A104=0,"GRID",IF(D104&gt;=Control!$B$17,"FINISHED",IF(AND(A104&gt;=INDEX(Drivers!$G$8:$G$13,B104),A104&lt;INDEX(Drivers!$G$8:$G$13,B104)+INDEX(Drivers!$J$8:$J$13,B104)),"PIT",IF(MOD(A104+INDEX(Drivers!$F$8:$F$13,B104),Control!$B$11)&lt;Control!$B$13,"BOOST","RACE"))))</x:f>
        <x:v>RACE</x:v>
      </x:c>
      <x:c r="F104" s="83" t="n">
        <x:f>IF(OR(E104="GRID",E104="FINISHED",E104="PIT"),0,MAX(Control!$B$15,(INDEX(Drivers!$D$8:$D$13,B104)+INDEX(Drivers!$E$8:$E$13,B104)*SIN((A104+INDEX(Drivers!$F$8:$F$13,B104)+Control!$B$16)*Control!$B$14))*INDEX(TrackMap!$M$8:$M$141,MOD(INT(D104)-1,Control!$B$7)+1)*IF(E104="BOOST",Control!$B$12,1)))</x:f>
        <x:v>3.102996076487806</x:v>
      </x:c>
      <x:c r="G104" s="83" t="n">
        <x:f>IF(A104=0,D104,MIN(Control!$B$17,D104+F104))</x:f>
        <x:v>50.78301258793227</x:v>
      </x:c>
      <x:c r="H104" s="73" t="n">
        <x:f>MOD(INT(G104)-1,Control!$B$7)+1</x:f>
        <x:v>50</x:v>
      </x:c>
      <x:c r="I104" s="73" t="n">
        <x:f>MIN(Control!$B$6,MAX(1,INT(MAX(0,G104)/Control!$B$7)+1))</x:f>
        <x:v>1</x:v>
      </x:c>
      <x:c r="J104" s="73" t="n">
        <x:f>INDEX(Drivers!$H$8:$H$13,B104)</x:f>
        <x:v>1</x:v>
      </x:c>
      <x:c r="K104" s="73" t="n">
        <x:f>IF(J104=1,INDEX(TrackMap!$I$8:$I$141,H104),INDEX(TrackMap!$L$8:$L$141,H104))</x:f>
        <x:v>1623</x:v>
      </x:c>
      <x:c r="L104" s="73" t="str">
        <x:f>INDEX(TrackMap!$F$8:$F$141,H104)</x:f>
        <x:v>→</x:v>
      </x:c>
      <x:c r="M104" s="87" t="n">
        <x:f>MAX(0,G104/Control!$B$17)</x:f>
        <x:v>0.07579554117601832</x:v>
      </x:c>
      <x:c r="N104" s="73" t="n">
        <x:f>IF(N98&gt;0,N98,IF(G104&gt;=Control!$B$17,A104,0))</x:f>
        <x:v>0</x:v>
      </x:c>
      <x:c r="O104" s="91" t="n">
        <x:f>IF(N104&gt;0,Control!$B$17+Control!$B$8+1-N104,G104)-B104/100000</x:f>
        <x:v>50.783002587932266</x:v>
      </x:c>
      <x:c r="P104" s="73" t="n">
        <x:f>COUNTIF($O$104:$O$109,"&gt;"&amp;O104)+1</x:f>
        <x:v>1</x:v>
      </x:c>
      <x:c r="Q104" s="83" t="n">
        <x:f>MAX($G$104:$G$109)-G104</x:f>
        <x:v>0</x:v>
      </x:c>
      <x:c r="R104" s="73" t="str">
        <x:f>INDEX(TrackMap!$B$8:$B$141,H104)</x:f>
        <x:v>中央高速直道</x:v>
      </x:c>
    </x:row>
    <x:row r="105" ht="20" customHeight="1">
      <x:c r="A105" s="73" t="n">
        <x:v>16</x:v>
      </x:c>
      <x:c r="B105" s="73" t="n">
        <x:v>2</x:v>
      </x:c>
      <x:c r="C105" s="73" t="str">
        <x:f>INDEX(Drivers!$B$8:$B$13,B105)</x:f>
        <x:v>蓝电</x:v>
      </x:c>
      <x:c r="D105" s="83" t="n">
        <x:f>G99</x:f>
        <x:v>44.576825964319596</x:v>
      </x:c>
      <x:c r="E105" s="83" t="str">
        <x:f>IF(A105=0,"GRID",IF(D105&gt;=Control!$B$17,"FINISHED",IF(AND(A105&gt;=INDEX(Drivers!$G$8:$G$13,B105),A105&lt;INDEX(Drivers!$G$8:$G$13,B105)+INDEX(Drivers!$J$8:$J$13,B105)),"PIT",IF(MOD(A105+INDEX(Drivers!$F$8:$F$13,B105),Control!$B$11)&lt;Control!$B$13,"BOOST","RACE"))))</x:f>
        <x:v>RACE</x:v>
      </x:c>
      <x:c r="F105" s="83" t="n">
        <x:f>IF(OR(E105="GRID",E105="FINISHED",E105="PIT"),0,MAX(Control!$B$15,(INDEX(Drivers!$D$8:$D$13,B105)+INDEX(Drivers!$E$8:$E$13,B105)*SIN((A105+INDEX(Drivers!$F$8:$F$13,B105)+Control!$B$16)*Control!$B$14))*INDEX(TrackMap!$M$8:$M$141,MOD(INT(D105)-1,Control!$B$7)+1)*IF(E105="BOOST",Control!$B$12,1)))</x:f>
        <x:v>3.214384260391071</x:v>
      </x:c>
      <x:c r="G105" s="83" t="n">
        <x:f>IF(A105=0,D105,MIN(Control!$B$17,D105+F105))</x:f>
        <x:v>47.79121022471067</x:v>
      </x:c>
      <x:c r="H105" s="73" t="n">
        <x:f>MOD(INT(G105)-1,Control!$B$7)+1</x:f>
        <x:v>47</x:v>
      </x:c>
      <x:c r="I105" s="73" t="n">
        <x:f>MIN(Control!$B$6,MAX(1,INT(MAX(0,G105)/Control!$B$7)+1))</x:f>
        <x:v>1</x:v>
      </x:c>
      <x:c r="J105" s="73" t="n">
        <x:f>INDEX(Drivers!$H$8:$H$13,B105)</x:f>
        <x:v>2</x:v>
      </x:c>
      <x:c r="K105" s="73" t="n">
        <x:f>IF(J105=1,INDEX(TrackMap!$I$8:$I$141,H105),INDEX(TrackMap!$L$8:$L$141,H105))</x:f>
        <x:v>1420</x:v>
      </x:c>
      <x:c r="L105" s="73" t="str">
        <x:f>INDEX(TrackMap!$F$8:$F$141,H105)</x:f>
        <x:v>↓</x:v>
      </x:c>
      <x:c r="M105" s="87" t="n">
        <x:f>MAX(0,G105/Control!$B$17)</x:f>
        <x:v>0.07133016451449353</x:v>
      </x:c>
      <x:c r="N105" s="73" t="n">
        <x:f>IF(N99&gt;0,N99,IF(G105&gt;=Control!$B$17,A105,0))</x:f>
        <x:v>0</x:v>
      </x:c>
      <x:c r="O105" s="91" t="n">
        <x:f>IF(N105&gt;0,Control!$B$17+Control!$B$8+1-N105,G105)-B105/100000</x:f>
        <x:v>47.79119022471067</x:v>
      </x:c>
      <x:c r="P105" s="73" t="n">
        <x:f>COUNTIF($O$104:$O$109,"&gt;"&amp;O105)+1</x:f>
        <x:v>4</x:v>
      </x:c>
      <x:c r="Q105" s="83" t="n">
        <x:f>MAX($G$104:$G$109)-G105</x:f>
        <x:v>2.991802363221602</x:v>
      </x:c>
      <x:c r="R105" s="73" t="str">
        <x:f>INDEX(TrackMap!$B$8:$B$141,H105)</x:f>
        <x:v>中段下行弯</x:v>
      </x:c>
    </x:row>
    <x:row r="106" ht="20" customHeight="1">
      <x:c r="A106" s="73" t="n">
        <x:v>16</x:v>
      </x:c>
      <x:c r="B106" s="73" t="n">
        <x:v>3</x:v>
      </x:c>
      <x:c r="C106" s="73" t="str">
        <x:f>INDEX(Drivers!$B$8:$B$13,B106)</x:f>
        <x:v>金翼</x:v>
      </x:c>
      <x:c r="D106" s="83" t="n">
        <x:f>G100</x:f>
        <x:v>45.76628433613814</x:v>
      </x:c>
      <x:c r="E106" s="83" t="str">
        <x:f>IF(A106=0,"GRID",IF(D106&gt;=Control!$B$17,"FINISHED",IF(AND(A106&gt;=INDEX(Drivers!$G$8:$G$13,B106),A106&lt;INDEX(Drivers!$G$8:$G$13,B106)+INDEX(Drivers!$J$8:$J$13,B106)),"PIT",IF(MOD(A106+INDEX(Drivers!$F$8:$F$13,B106),Control!$B$11)&lt;Control!$B$13,"BOOST","RACE"))))</x:f>
        <x:v>BOOST</x:v>
      </x:c>
      <x:c r="F106" s="83" t="n">
        <x:f>IF(OR(E106="GRID",E106="FINISHED",E106="PIT"),0,MAX(Control!$B$15,(INDEX(Drivers!$D$8:$D$13,B106)+INDEX(Drivers!$E$8:$E$13,B106)*SIN((A106+INDEX(Drivers!$F$8:$F$13,B106)+Control!$B$16)*Control!$B$14))*INDEX(TrackMap!$M$8:$M$141,MOD(INT(D106)-1,Control!$B$7)+1)*IF(E106="BOOST",Control!$B$12,1)))</x:f>
        <x:v>3.611081512654604</x:v>
      </x:c>
      <x:c r="G106" s="83" t="n">
        <x:f>IF(A106=0,D106,MIN(Control!$B$17,D106+F106))</x:f>
        <x:v>49.37736584879275</x:v>
      </x:c>
      <x:c r="H106" s="73" t="n">
        <x:f>MOD(INT(G106)-1,Control!$B$7)+1</x:f>
        <x:v>49</x:v>
      </x:c>
      <x:c r="I106" s="73" t="n">
        <x:f>MIN(Control!$B$6,MAX(1,INT(MAX(0,G106)/Control!$B$7)+1))</x:f>
        <x:v>1</x:v>
      </x:c>
      <x:c r="J106" s="73" t="n">
        <x:f>INDEX(Drivers!$H$8:$H$13,B106)</x:f>
        <x:v>1</x:v>
      </x:c>
      <x:c r="K106" s="73" t="n">
        <x:f>IF(J106=1,INDEX(TrackMap!$I$8:$I$141,H106),INDEX(TrackMap!$L$8:$L$141,H106))</x:f>
        <x:v>1622</x:v>
      </x:c>
      <x:c r="L106" s="73" t="str">
        <x:f>INDEX(TrackMap!$F$8:$F$141,H106)</x:f>
        <x:v>→</x:v>
      </x:c>
      <x:c r="M106" s="87" t="n">
        <x:f>MAX(0,G106/Control!$B$17)</x:f>
        <x:v>0.07369756096834738</x:v>
      </x:c>
      <x:c r="N106" s="73" t="n">
        <x:f>IF(N100&gt;0,N100,IF(G106&gt;=Control!$B$17,A106,0))</x:f>
        <x:v>0</x:v>
      </x:c>
      <x:c r="O106" s="91" t="n">
        <x:f>IF(N106&gt;0,Control!$B$17+Control!$B$8+1-N106,G106)-B106/100000</x:f>
        <x:v>49.37733584879275</x:v>
      </x:c>
      <x:c r="P106" s="73" t="n">
        <x:f>COUNTIF($O$104:$O$109,"&gt;"&amp;O106)+1</x:f>
        <x:v>3</x:v>
      </x:c>
      <x:c r="Q106" s="83" t="n">
        <x:f>MAX($G$104:$G$109)-G106</x:f>
        <x:v>1.4056467391395202</x:v>
      </x:c>
      <x:c r="R106" s="73" t="str">
        <x:f>INDEX(TrackMap!$B$8:$B$141,H106)</x:f>
        <x:v>中央高速直道</x:v>
      </x:c>
    </x:row>
    <x:row r="107" ht="20" customHeight="1">
      <x:c r="A107" s="73" t="n">
        <x:v>16</x:v>
      </x:c>
      <x:c r="B107" s="73" t="n">
        <x:v>4</x:v>
      </x:c>
      <x:c r="C107" s="73" t="str">
        <x:f>INDEX(Drivers!$B$8:$B$13,B107)</x:f>
        <x:v>紫影</x:v>
      </x:c>
      <x:c r="D107" s="83" t="n">
        <x:f>G101</x:f>
        <x:v>46.829855184544236</x:v>
      </x:c>
      <x:c r="E107" s="83" t="str">
        <x:f>IF(A107=0,"GRID",IF(D107&gt;=Control!$B$17,"FINISHED",IF(AND(A107&gt;=INDEX(Drivers!$G$8:$G$13,B107),A107&lt;INDEX(Drivers!$G$8:$G$13,B107)+INDEX(Drivers!$J$8:$J$13,B107)),"PIT",IF(MOD(A107+INDEX(Drivers!$F$8:$F$13,B107),Control!$B$11)&lt;Control!$B$13,"BOOST","RACE"))))</x:f>
        <x:v>RACE</x:v>
      </x:c>
      <x:c r="F107" s="83" t="n">
        <x:f>IF(OR(E107="GRID",E107="FINISHED",E107="PIT"),0,MAX(Control!$B$15,(INDEX(Drivers!$D$8:$D$13,B107)+INDEX(Drivers!$E$8:$E$13,B107)*SIN((A107+INDEX(Drivers!$F$8:$F$13,B107)+Control!$B$16)*Control!$B$14))*INDEX(TrackMap!$M$8:$M$141,MOD(INT(D107)-1,Control!$B$7)+1)*IF(E107="BOOST",Control!$B$12,1)))</x:f>
        <x:v>3.6118567395260883</x:v>
      </x:c>
      <x:c r="G107" s="83" t="n">
        <x:f>IF(A107=0,D107,MIN(Control!$B$17,D107+F107))</x:f>
        <x:v>50.441711924070326</x:v>
      </x:c>
      <x:c r="H107" s="73" t="n">
        <x:f>MOD(INT(G107)-1,Control!$B$7)+1</x:f>
        <x:v>50</x:v>
      </x:c>
      <x:c r="I107" s="73" t="n">
        <x:f>MIN(Control!$B$6,MAX(1,INT(MAX(0,G107)/Control!$B$7)+1))</x:f>
        <x:v>1</x:v>
      </x:c>
      <x:c r="J107" s="73" t="n">
        <x:f>INDEX(Drivers!$H$8:$H$13,B107)</x:f>
        <x:v>2</x:v>
      </x:c>
      <x:c r="K107" s="73" t="n">
        <x:f>IF(J107=1,INDEX(TrackMap!$I$8:$I$141,H107),INDEX(TrackMap!$L$8:$L$141,H107))</x:f>
        <x:v>1523</x:v>
      </x:c>
      <x:c r="L107" s="73" t="str">
        <x:f>INDEX(TrackMap!$F$8:$F$141,H107)</x:f>
        <x:v>→</x:v>
      </x:c>
      <x:c r="M107" s="87" t="n">
        <x:f>MAX(0,G107/Control!$B$17)</x:f>
        <x:v>0.07528613720010496</x:v>
      </x:c>
      <x:c r="N107" s="73" t="n">
        <x:f>IF(N101&gt;0,N101,IF(G107&gt;=Control!$B$17,A107,0))</x:f>
        <x:v>0</x:v>
      </x:c>
      <x:c r="O107" s="91" t="n">
        <x:f>IF(N107&gt;0,Control!$B$17+Control!$B$8+1-N107,G107)-B107/100000</x:f>
        <x:v>50.44167192407033</x:v>
      </x:c>
      <x:c r="P107" s="73" t="n">
        <x:f>COUNTIF($O$104:$O$109,"&gt;"&amp;O107)+1</x:f>
        <x:v>2</x:v>
      </x:c>
      <x:c r="Q107" s="83" t="n">
        <x:f>MAX($G$104:$G$109)-G107</x:f>
        <x:v>0.3413006638619436</x:v>
      </x:c>
      <x:c r="R107" s="73" t="str">
        <x:f>INDEX(TrackMap!$B$8:$B$141,H107)</x:f>
        <x:v>中央高速直道</x:v>
      </x:c>
    </x:row>
    <x:row r="108" ht="20" customHeight="1">
      <x:c r="A108" s="73" t="n">
        <x:v>16</x:v>
      </x:c>
      <x:c r="B108" s="73" t="n">
        <x:v>5</x:v>
      </x:c>
      <x:c r="C108" s="73" t="str">
        <x:f>INDEX(Drivers!$B$8:$B$13,B108)</x:f>
        <x:v>青锋</x:v>
      </x:c>
      <x:c r="D108" s="83" t="n">
        <x:f>G102</x:f>
        <x:v>40.839097707155354</x:v>
      </x:c>
      <x:c r="E108" s="83" t="str">
        <x:f>IF(A108=0,"GRID",IF(D108&gt;=Control!$B$17,"FINISHED",IF(AND(A108&gt;=INDEX(Drivers!$G$8:$G$13,B108),A108&lt;INDEX(Drivers!$G$8:$G$13,B108)+INDEX(Drivers!$J$8:$J$13,B108)),"PIT",IF(MOD(A108+INDEX(Drivers!$F$8:$F$13,B108),Control!$B$11)&lt;Control!$B$13,"BOOST","RACE"))))</x:f>
        <x:v>RACE</x:v>
      </x:c>
      <x:c r="F108" s="83" t="n">
        <x:f>IF(OR(E108="GRID",E108="FINISHED",E108="PIT"),0,MAX(Control!$B$15,(INDEX(Drivers!$D$8:$D$13,B108)+INDEX(Drivers!$E$8:$E$13,B108)*SIN((A108+INDEX(Drivers!$F$8:$F$13,B108)+Control!$B$16)*Control!$B$14))*INDEX(TrackMap!$M$8:$M$141,MOD(INT(D108)-1,Control!$B$7)+1)*IF(E108="BOOST",Control!$B$12,1)))</x:f>
        <x:v>2.836927907668048</x:v>
      </x:c>
      <x:c r="G108" s="83" t="n">
        <x:f>IF(A108=0,D108,MIN(Control!$B$17,D108+F108))</x:f>
        <x:v>43.6760256148234</x:v>
      </x:c>
      <x:c r="H108" s="73" t="n">
        <x:f>MOD(INT(G108)-1,Control!$B$7)+1</x:f>
        <x:v>43</x:v>
      </x:c>
      <x:c r="I108" s="73" t="n">
        <x:f>MIN(Control!$B$6,MAX(1,INT(MAX(0,G108)/Control!$B$7)+1))</x:f>
        <x:v>1</x:v>
      </x:c>
      <x:c r="J108" s="73" t="n">
        <x:f>INDEX(Drivers!$H$8:$H$13,B108)</x:f>
        <x:v>1</x:v>
      </x:c>
      <x:c r="K108" s="73" t="n">
        <x:f>IF(J108=1,INDEX(TrackMap!$I$8:$I$141,H108),INDEX(TrackMap!$L$8:$L$141,H108))</x:f>
        <x:v>1020</x:v>
      </x:c>
      <x:c r="L108" s="73" t="str">
        <x:f>INDEX(TrackMap!$F$8:$F$141,H108)</x:f>
        <x:v>↓</x:v>
      </x:c>
      <x:c r="M108" s="87" t="n">
        <x:f>MAX(0,G108/Control!$B$17)</x:f>
        <x:v>0.06518809793257224</x:v>
      </x:c>
      <x:c r="N108" s="73" t="n">
        <x:f>IF(N102&gt;0,N102,IF(G108&gt;=Control!$B$17,A108,0))</x:f>
        <x:v>0</x:v>
      </x:c>
      <x:c r="O108" s="91" t="n">
        <x:f>IF(N108&gt;0,Control!$B$17+Control!$B$8+1-N108,G108)-B108/100000</x:f>
        <x:v>43.6759756148234</x:v>
      </x:c>
      <x:c r="P108" s="73" t="n">
        <x:f>COUNTIF($O$104:$O$109,"&gt;"&amp;O108)+1</x:f>
        <x:v>5</x:v>
      </x:c>
      <x:c r="Q108" s="83" t="n">
        <x:f>MAX($G$104:$G$109)-G108</x:f>
        <x:v>7.106986973108867</x:v>
      </x:c>
      <x:c r="R108" s="73" t="str">
        <x:f>INDEX(TrackMap!$B$8:$B$141,H108)</x:f>
        <x:v>西侧发卡弯</x:v>
      </x:c>
    </x:row>
    <x:row r="109" ht="20" customHeight="1">
      <x:c r="A109" s="73" t="n">
        <x:v>16</x:v>
      </x:c>
      <x:c r="B109" s="73" t="n">
        <x:v>6</x:v>
      </x:c>
      <x:c r="C109" s="73" t="str">
        <x:f>INDEX(Drivers!$B$8:$B$13,B109)</x:f>
        <x:v>玫速</x:v>
      </x:c>
      <x:c r="D109" s="83" t="n">
        <x:f>G103</x:f>
        <x:v>39.86235416937063</x:v>
      </x:c>
      <x:c r="E109" s="83" t="str">
        <x:f>IF(A109=0,"GRID",IF(D109&gt;=Control!$B$17,"FINISHED",IF(AND(A109&gt;=INDEX(Drivers!$G$8:$G$13,B109),A109&lt;INDEX(Drivers!$G$8:$G$13,B109)+INDEX(Drivers!$J$8:$J$13,B109)),"PIT",IF(MOD(A109+INDEX(Drivers!$F$8:$F$13,B109),Control!$B$11)&lt;Control!$B$13,"BOOST","RACE"))))</x:f>
        <x:v>RACE</x:v>
      </x:c>
      <x:c r="F109" s="83" t="n">
        <x:f>IF(OR(E109="GRID",E109="FINISHED",E109="PIT"),0,MAX(Control!$B$15,(INDEX(Drivers!$D$8:$D$13,B109)+INDEX(Drivers!$E$8:$E$13,B109)*SIN((A109+INDEX(Drivers!$F$8:$F$13,B109)+Control!$B$16)*Control!$B$14))*INDEX(TrackMap!$M$8:$M$141,MOD(INT(D109)-1,Control!$B$7)+1)*IF(E109="BOOST",Control!$B$12,1)))</x:f>
        <x:v>3.110197585736334</x:v>
      </x:c>
      <x:c r="G109" s="83" t="n">
        <x:f>IF(A109=0,D109,MIN(Control!$B$17,D109+F109))</x:f>
        <x:v>42.97255175510697</x:v>
      </x:c>
      <x:c r="H109" s="73" t="n">
        <x:f>MOD(INT(G109)-1,Control!$B$7)+1</x:f>
        <x:v>42</x:v>
      </x:c>
      <x:c r="I109" s="73" t="n">
        <x:f>MIN(Control!$B$6,MAX(1,INT(MAX(0,G109)/Control!$B$7)+1))</x:f>
        <x:v>1</x:v>
      </x:c>
      <x:c r="J109" s="73" t="n">
        <x:f>INDEX(Drivers!$H$8:$H$13,B109)</x:f>
        <x:v>2</x:v>
      </x:c>
      <x:c r="K109" s="73" t="n">
        <x:f>IF(J109=1,INDEX(TrackMap!$I$8:$I$141,H109),INDEX(TrackMap!$L$8:$L$141,H109))</x:f>
        <x:v>918</x:v>
      </x:c>
      <x:c r="L109" s="73" t="str">
        <x:f>INDEX(TrackMap!$F$8:$F$141,H109)</x:f>
        <x:v>→</x:v>
      </x:c>
      <x:c r="M109" s="87" t="n">
        <x:f>MAX(0,G109/Control!$B$17)</x:f>
        <x:v>0.06413813694792085</x:v>
      </x:c>
      <x:c r="N109" s="73" t="n">
        <x:f>IF(N103&gt;0,N103,IF(G109&gt;=Control!$B$17,A109,0))</x:f>
        <x:v>0</x:v>
      </x:c>
      <x:c r="O109" s="91" t="n">
        <x:f>IF(N109&gt;0,Control!$B$17+Control!$B$8+1-N109,G109)-B109/100000</x:f>
        <x:v>42.97249175510697</x:v>
      </x:c>
      <x:c r="P109" s="73" t="n">
        <x:f>COUNTIF($O$104:$O$109,"&gt;"&amp;O109)+1</x:f>
        <x:v>6</x:v>
      </x:c>
      <x:c r="Q109" s="83" t="n">
        <x:f>MAX($G$104:$G$109)-G109</x:f>
        <x:v>7.810460832825299</x:v>
      </x:c>
      <x:c r="R109" s="73" t="str">
        <x:f>INDEX(TrackMap!$B$8:$B$141,H109)</x:f>
        <x:v>西侧发卡弯</x:v>
      </x:c>
    </x:row>
    <x:row r="110" ht="20" customHeight="1">
      <x:c r="A110" s="73" t="n">
        <x:v>17</x:v>
      </x:c>
      <x:c r="B110" s="73" t="n">
        <x:v>1</x:v>
      </x:c>
      <x:c r="C110" s="73" t="str">
        <x:f>INDEX(Drivers!$B$8:$B$13,B110)</x:f>
        <x:v>赤焰</x:v>
      </x:c>
      <x:c r="D110" s="83" t="n">
        <x:f>G104</x:f>
        <x:v>50.78301258793227</x:v>
      </x:c>
      <x:c r="E110" s="83" t="str">
        <x:f>IF(A110=0,"GRID",IF(D110&gt;=Control!$B$17,"FINISHED",IF(AND(A110&gt;=INDEX(Drivers!$G$8:$G$13,B110),A110&lt;INDEX(Drivers!$G$8:$G$13,B110)+INDEX(Drivers!$J$8:$J$13,B110)),"PIT",IF(MOD(A110+INDEX(Drivers!$F$8:$F$13,B110),Control!$B$11)&lt;Control!$B$13,"BOOST","RACE"))))</x:f>
        <x:v>RACE</x:v>
      </x:c>
      <x:c r="F110" s="83" t="n">
        <x:f>IF(OR(E110="GRID",E110="FINISHED",E110="PIT"),0,MAX(Control!$B$15,(INDEX(Drivers!$D$8:$D$13,B110)+INDEX(Drivers!$E$8:$E$13,B110)*SIN((A110+INDEX(Drivers!$F$8:$F$13,B110)+Control!$B$16)*Control!$B$14))*INDEX(TrackMap!$M$8:$M$141,MOD(INT(D110)-1,Control!$B$7)+1)*IF(E110="BOOST",Control!$B$12,1)))</x:f>
        <x:v>3.160744629690533</x:v>
      </x:c>
      <x:c r="G110" s="83" t="n">
        <x:f>IF(A110=0,D110,MIN(Control!$B$17,D110+F110))</x:f>
        <x:v>53.9437572176228</x:v>
      </x:c>
      <x:c r="H110" s="73" t="n">
        <x:f>MOD(INT(G110)-1,Control!$B$7)+1</x:f>
        <x:v>53</x:v>
      </x:c>
      <x:c r="I110" s="73" t="n">
        <x:f>MIN(Control!$B$6,MAX(1,INT(MAX(0,G110)/Control!$B$7)+1))</x:f>
        <x:v>1</x:v>
      </x:c>
      <x:c r="J110" s="73" t="n">
        <x:f>INDEX(Drivers!$H$8:$H$13,B110)</x:f>
        <x:v>1</x:v>
      </x:c>
      <x:c r="K110" s="73" t="n">
        <x:f>IF(J110=1,INDEX(TrackMap!$I$8:$I$141,H110),INDEX(TrackMap!$L$8:$L$141,H110))</x:f>
        <x:v>1626</x:v>
      </x:c>
      <x:c r="L110" s="73" t="str">
        <x:f>INDEX(TrackMap!$F$8:$F$141,H110)</x:f>
        <x:v>→</x:v>
      </x:c>
      <x:c r="M110" s="87" t="n">
        <x:f>MAX(0,G110/Control!$B$17)</x:f>
        <x:v>0.08051307047406389</x:v>
      </x:c>
      <x:c r="N110" s="73" t="n">
        <x:f>IF(N104&gt;0,N104,IF(G110&gt;=Control!$B$17,A110,0))</x:f>
        <x:v>0</x:v>
      </x:c>
      <x:c r="O110" s="91" t="n">
        <x:f>IF(N110&gt;0,Control!$B$17+Control!$B$8+1-N110,G110)-B110/100000</x:f>
        <x:v>53.9437472176228</x:v>
      </x:c>
      <x:c r="P110" s="73" t="n">
        <x:f>COUNTIF($O$110:$O$115,"&gt;"&amp;O110)+1</x:f>
        <x:v>2</x:v>
      </x:c>
      <x:c r="Q110" s="83" t="n">
        <x:f>MAX($G$110:$G$115)-G110</x:f>
        <x:v>0.31870219013969603</x:v>
      </x:c>
      <x:c r="R110" s="73" t="str">
        <x:f>INDEX(TrackMap!$B$8:$B$141,H110)</x:f>
        <x:v>中央高速直道</x:v>
      </x:c>
    </x:row>
    <x:row r="111" ht="20" customHeight="1">
      <x:c r="A111" s="73" t="n">
        <x:v>17</x:v>
      </x:c>
      <x:c r="B111" s="73" t="n">
        <x:v>2</x:v>
      </x:c>
      <x:c r="C111" s="73" t="str">
        <x:f>INDEX(Drivers!$B$8:$B$13,B111)</x:f>
        <x:v>蓝电</x:v>
      </x:c>
      <x:c r="D111" s="83" t="n">
        <x:f>G105</x:f>
        <x:v>47.79121022471067</x:v>
      </x:c>
      <x:c r="E111" s="83" t="str">
        <x:f>IF(A111=0,"GRID",IF(D111&gt;=Control!$B$17,"FINISHED",IF(AND(A111&gt;=INDEX(Drivers!$G$8:$G$13,B111),A111&lt;INDEX(Drivers!$G$8:$G$13,B111)+INDEX(Drivers!$J$8:$J$13,B111)),"PIT",IF(MOD(A111+INDEX(Drivers!$F$8:$F$13,B111),Control!$B$11)&lt;Control!$B$13,"BOOST","RACE"))))</x:f>
        <x:v>RACE</x:v>
      </x:c>
      <x:c r="F111" s="83" t="n">
        <x:f>IF(OR(E111="GRID",E111="FINISHED",E111="PIT"),0,MAX(Control!$B$15,(INDEX(Drivers!$D$8:$D$13,B111)+INDEX(Drivers!$E$8:$E$13,B111)*SIN((A111+INDEX(Drivers!$F$8:$F$13,B111)+Control!$B$16)*Control!$B$14))*INDEX(TrackMap!$M$8:$M$141,MOD(INT(D111)-1,Control!$B$7)+1)*IF(E111="BOOST",Control!$B$12,1)))</x:f>
        <x:v>4.1782144652542</x:v>
      </x:c>
      <x:c r="G111" s="83" t="n">
        <x:f>IF(A111=0,D111,MIN(Control!$B$17,D111+F111))</x:f>
        <x:v>51.96942468996487</x:v>
      </x:c>
      <x:c r="H111" s="73" t="n">
        <x:f>MOD(INT(G111)-1,Control!$B$7)+1</x:f>
        <x:v>51</x:v>
      </x:c>
      <x:c r="I111" s="73" t="n">
        <x:f>MIN(Control!$B$6,MAX(1,INT(MAX(0,G111)/Control!$B$7)+1))</x:f>
        <x:v>1</x:v>
      </x:c>
      <x:c r="J111" s="73" t="n">
        <x:f>INDEX(Drivers!$H$8:$H$13,B111)</x:f>
        <x:v>2</x:v>
      </x:c>
      <x:c r="K111" s="73" t="n">
        <x:f>IF(J111=1,INDEX(TrackMap!$I$8:$I$141,H111),INDEX(TrackMap!$L$8:$L$141,H111))</x:f>
        <x:v>1524</x:v>
      </x:c>
      <x:c r="L111" s="73" t="str">
        <x:f>INDEX(TrackMap!$F$8:$F$141,H111)</x:f>
        <x:v>→</x:v>
      </x:c>
      <x:c r="M111" s="87" t="n">
        <x:f>MAX(0,G111/Control!$B$17)</x:f>
        <x:v>0.07756630550741025</x:v>
      </x:c>
      <x:c r="N111" s="73" t="n">
        <x:f>IF(N105&gt;0,N105,IF(G111&gt;=Control!$B$17,A111,0))</x:f>
        <x:v>0</x:v>
      </x:c>
      <x:c r="O111" s="91" t="n">
        <x:f>IF(N111&gt;0,Control!$B$17+Control!$B$8+1-N111,G111)-B111/100000</x:f>
        <x:v>51.96940468996487</x:v>
      </x:c>
      <x:c r="P111" s="73" t="n">
        <x:f>COUNTIF($O$110:$O$115,"&gt;"&amp;O111)+1</x:f>
        <x:v>4</x:v>
      </x:c>
      <x:c r="Q111" s="83" t="n">
        <x:f>MAX($G$110:$G$115)-G111</x:f>
        <x:v>2.2930347177976316</x:v>
      </x:c>
      <x:c r="R111" s="73" t="str">
        <x:f>INDEX(TrackMap!$B$8:$B$141,H111)</x:f>
        <x:v>中央高速直道</x:v>
      </x:c>
    </x:row>
    <x:row r="112" ht="20" customHeight="1">
      <x:c r="A112" s="73" t="n">
        <x:v>17</x:v>
      </x:c>
      <x:c r="B112" s="73" t="n">
        <x:v>3</x:v>
      </x:c>
      <x:c r="C112" s="73" t="str">
        <x:f>INDEX(Drivers!$B$8:$B$13,B112)</x:f>
        <x:v>金翼</x:v>
      </x:c>
      <x:c r="D112" s="83" t="n">
        <x:f>G106</x:f>
        <x:v>49.37736584879275</x:v>
      </x:c>
      <x:c r="E112" s="83" t="str">
        <x:f>IF(A112=0,"GRID",IF(D112&gt;=Control!$B$17,"FINISHED",IF(AND(A112&gt;=INDEX(Drivers!$G$8:$G$13,B112),A112&lt;INDEX(Drivers!$G$8:$G$13,B112)+INDEX(Drivers!$J$8:$J$13,B112)),"PIT",IF(MOD(A112+INDEX(Drivers!$F$8:$F$13,B112),Control!$B$11)&lt;Control!$B$13,"BOOST","RACE"))))</x:f>
        <x:v>BOOST</x:v>
      </x:c>
      <x:c r="F112" s="83" t="n">
        <x:f>IF(OR(E112="GRID",E112="FINISHED",E112="PIT"),0,MAX(Control!$B$15,(INDEX(Drivers!$D$8:$D$13,B112)+INDEX(Drivers!$E$8:$E$13,B112)*SIN((A112+INDEX(Drivers!$F$8:$F$13,B112)+Control!$B$16)*Control!$B$14))*INDEX(TrackMap!$M$8:$M$141,MOD(INT(D112)-1,Control!$B$7)+1)*IF(E112="BOOST",Control!$B$12,1)))</x:f>
        <x:v>4.449088576285955</x:v>
      </x:c>
      <x:c r="G112" s="83" t="n">
        <x:f>IF(A112=0,D112,MIN(Control!$B$17,D112+F112))</x:f>
        <x:v>53.8264544250787</x:v>
      </x:c>
      <x:c r="H112" s="73" t="n">
        <x:f>MOD(INT(G112)-1,Control!$B$7)+1</x:f>
        <x:v>53</x:v>
      </x:c>
      <x:c r="I112" s="73" t="n">
        <x:f>MIN(Control!$B$6,MAX(1,INT(MAX(0,G112)/Control!$B$7)+1))</x:f>
        <x:v>1</x:v>
      </x:c>
      <x:c r="J112" s="73" t="n">
        <x:f>INDEX(Drivers!$H$8:$H$13,B112)</x:f>
        <x:v>1</x:v>
      </x:c>
      <x:c r="K112" s="73" t="n">
        <x:f>IF(J112=1,INDEX(TrackMap!$I$8:$I$141,H112),INDEX(TrackMap!$L$8:$L$141,H112))</x:f>
        <x:v>1626</x:v>
      </x:c>
      <x:c r="L112" s="73" t="str">
        <x:f>INDEX(TrackMap!$F$8:$F$141,H112)</x:f>
        <x:v>→</x:v>
      </x:c>
      <x:c r="M112" s="87" t="n">
        <x:f>MAX(0,G112/Control!$B$17)</x:f>
        <x:v>0.08033799167922194</x:v>
      </x:c>
      <x:c r="N112" s="73" t="n">
        <x:f>IF(N106&gt;0,N106,IF(G112&gt;=Control!$B$17,A112,0))</x:f>
        <x:v>0</x:v>
      </x:c>
      <x:c r="O112" s="91" t="n">
        <x:f>IF(N112&gt;0,Control!$B$17+Control!$B$8+1-N112,G112)-B112/100000</x:f>
        <x:v>53.8264244250787</x:v>
      </x:c>
      <x:c r="P112" s="73" t="n">
        <x:f>COUNTIF($O$110:$O$115,"&gt;"&amp;O112)+1</x:f>
        <x:v>3</x:v>
      </x:c>
      <x:c r="Q112" s="83" t="n">
        <x:f>MAX($G$110:$G$115)-G112</x:f>
        <x:v>0.43600498268379795</x:v>
      </x:c>
      <x:c r="R112" s="73" t="str">
        <x:f>INDEX(TrackMap!$B$8:$B$141,H112)</x:f>
        <x:v>中央高速直道</x:v>
      </x:c>
    </x:row>
    <x:row r="113" ht="20" customHeight="1">
      <x:c r="A113" s="73" t="n">
        <x:v>17</x:v>
      </x:c>
      <x:c r="B113" s="73" t="n">
        <x:v>4</x:v>
      </x:c>
      <x:c r="C113" s="73" t="str">
        <x:f>INDEX(Drivers!$B$8:$B$13,B113)</x:f>
        <x:v>紫影</x:v>
      </x:c>
      <x:c r="D113" s="83" t="n">
        <x:f>G107</x:f>
        <x:v>50.441711924070326</x:v>
      </x:c>
      <x:c r="E113" s="83" t="str">
        <x:f>IF(A113=0,"GRID",IF(D113&gt;=Control!$B$17,"FINISHED",IF(AND(A113&gt;=INDEX(Drivers!$G$8:$G$13,B113),A113&lt;INDEX(Drivers!$G$8:$G$13,B113)+INDEX(Drivers!$J$8:$J$13,B113)),"PIT",IF(MOD(A113+INDEX(Drivers!$F$8:$F$13,B113),Control!$B$11)&lt;Control!$B$13,"BOOST","RACE"))))</x:f>
        <x:v>RACE</x:v>
      </x:c>
      <x:c r="F113" s="83" t="n">
        <x:f>IF(OR(E113="GRID",E113="FINISHED",E113="PIT"),0,MAX(Control!$B$15,(INDEX(Drivers!$D$8:$D$13,B113)+INDEX(Drivers!$E$8:$E$13,B113)*SIN((A113+INDEX(Drivers!$F$8:$F$13,B113)+Control!$B$16)*Control!$B$14))*INDEX(TrackMap!$M$8:$M$141,MOD(INT(D113)-1,Control!$B$7)+1)*IF(E113="BOOST",Control!$B$12,1)))</x:f>
        <x:v>3.8207474836921738</x:v>
      </x:c>
      <x:c r="G113" s="83" t="n">
        <x:f>IF(A113=0,D113,MIN(Control!$B$17,D113+F113))</x:f>
        <x:v>54.2624594077625</x:v>
      </x:c>
      <x:c r="H113" s="73" t="n">
        <x:f>MOD(INT(G113)-1,Control!$B$7)+1</x:f>
        <x:v>54</x:v>
      </x:c>
      <x:c r="I113" s="73" t="n">
        <x:f>MIN(Control!$B$6,MAX(1,INT(MAX(0,G113)/Control!$B$7)+1))</x:f>
        <x:v>1</x:v>
      </x:c>
      <x:c r="J113" s="73" t="n">
        <x:f>INDEX(Drivers!$H$8:$H$13,B113)</x:f>
        <x:v>2</x:v>
      </x:c>
      <x:c r="K113" s="73" t="n">
        <x:f>IF(J113=1,INDEX(TrackMap!$I$8:$I$141,H113),INDEX(TrackMap!$L$8:$L$141,H113))</x:f>
        <x:v>1527</x:v>
      </x:c>
      <x:c r="L113" s="73" t="str">
        <x:f>INDEX(TrackMap!$F$8:$F$141,H113)</x:f>
        <x:v>→</x:v>
      </x:c>
      <x:c r="M113" s="87" t="n">
        <x:f>MAX(0,G113/Control!$B$17)</x:f>
        <x:v>0.08098874538472015</x:v>
      </x:c>
      <x:c r="N113" s="73" t="n">
        <x:f>IF(N107&gt;0,N107,IF(G113&gt;=Control!$B$17,A113,0))</x:f>
        <x:v>0</x:v>
      </x:c>
      <x:c r="O113" s="91" t="n">
        <x:f>IF(N113&gt;0,Control!$B$17+Control!$B$8+1-N113,G113)-B113/100000</x:f>
        <x:v>54.2624194077625</x:v>
      </x:c>
      <x:c r="P113" s="73" t="n">
        <x:f>COUNTIF($O$110:$O$115,"&gt;"&amp;O113)+1</x:f>
        <x:v>1</x:v>
      </x:c>
      <x:c r="Q113" s="83" t="n">
        <x:f>MAX($G$110:$G$115)-G113</x:f>
        <x:v>0</x:v>
      </x:c>
      <x:c r="R113" s="73" t="str">
        <x:f>INDEX(TrackMap!$B$8:$B$141,H113)</x:f>
        <x:v>中央高速直道</x:v>
      </x:c>
    </x:row>
    <x:row r="114" ht="20" customHeight="1">
      <x:c r="A114" s="73" t="n">
        <x:v>17</x:v>
      </x:c>
      <x:c r="B114" s="73" t="n">
        <x:v>5</x:v>
      </x:c>
      <x:c r="C114" s="73" t="str">
        <x:f>INDEX(Drivers!$B$8:$B$13,B114)</x:f>
        <x:v>青锋</x:v>
      </x:c>
      <x:c r="D114" s="83" t="n">
        <x:f>G108</x:f>
        <x:v>43.6760256148234</x:v>
      </x:c>
      <x:c r="E114" s="83" t="str">
        <x:f>IF(A114=0,"GRID",IF(D114&gt;=Control!$B$17,"FINISHED",IF(AND(A114&gt;=INDEX(Drivers!$G$8:$G$13,B114),A114&lt;INDEX(Drivers!$G$8:$G$13,B114)+INDEX(Drivers!$J$8:$J$13,B114)),"PIT",IF(MOD(A114+INDEX(Drivers!$F$8:$F$13,B114),Control!$B$11)&lt;Control!$B$13,"BOOST","RACE"))))</x:f>
        <x:v>RACE</x:v>
      </x:c>
      <x:c r="F114" s="83" t="n">
        <x:f>IF(OR(E114="GRID",E114="FINISHED",E114="PIT"),0,MAX(Control!$B$15,(INDEX(Drivers!$D$8:$D$13,B114)+INDEX(Drivers!$E$8:$E$13,B114)*SIN((A114+INDEX(Drivers!$F$8:$F$13,B114)+Control!$B$16)*Control!$B$14))*INDEX(TrackMap!$M$8:$M$141,MOD(INT(D114)-1,Control!$B$7)+1)*IF(E114="BOOST",Control!$B$12,1)))</x:f>
        <x:v>2.983211416064719</x:v>
      </x:c>
      <x:c r="G114" s="83" t="n">
        <x:f>IF(A114=0,D114,MIN(Control!$B$17,D114+F114))</x:f>
        <x:v>46.65923703088812</x:v>
      </x:c>
      <x:c r="H114" s="73" t="n">
        <x:f>MOD(INT(G114)-1,Control!$B$7)+1</x:f>
        <x:v>46</x:v>
      </x:c>
      <x:c r="I114" s="73" t="n">
        <x:f>MIN(Control!$B$6,MAX(1,INT(MAX(0,G114)/Control!$B$7)+1))</x:f>
        <x:v>1</x:v>
      </x:c>
      <x:c r="J114" s="73" t="n">
        <x:f>INDEX(Drivers!$H$8:$H$13,B114)</x:f>
        <x:v>1</x:v>
      </x:c>
      <x:c r="K114" s="73" t="n">
        <x:f>IF(J114=1,INDEX(TrackMap!$I$8:$I$141,H114),INDEX(TrackMap!$L$8:$L$141,H114))</x:f>
        <x:v>1319</x:v>
      </x:c>
      <x:c r="L114" s="73" t="str">
        <x:f>INDEX(TrackMap!$F$8:$F$141,H114)</x:f>
        <x:v>↓</x:v>
      </x:c>
      <x:c r="M114" s="87" t="n">
        <x:f>MAX(0,G114/Control!$B$17)</x:f>
        <x:v>0.06964065228490765</x:v>
      </x:c>
      <x:c r="N114" s="73" t="n">
        <x:f>IF(N108&gt;0,N108,IF(G114&gt;=Control!$B$17,A114,0))</x:f>
        <x:v>0</x:v>
      </x:c>
      <x:c r="O114" s="91" t="n">
        <x:f>IF(N114&gt;0,Control!$B$17+Control!$B$8+1-N114,G114)-B114/100000</x:f>
        <x:v>46.65918703088812</x:v>
      </x:c>
      <x:c r="P114" s="73" t="n">
        <x:f>COUNTIF($O$110:$O$115,"&gt;"&amp;O114)+1</x:f>
        <x:v>6</x:v>
      </x:c>
      <x:c r="Q114" s="83" t="n">
        <x:f>MAX($G$110:$G$115)-G114</x:f>
        <x:v>7.603222376874378</x:v>
      </x:c>
      <x:c r="R114" s="73" t="str">
        <x:f>INDEX(TrackMap!$B$8:$B$141,H114)</x:f>
        <x:v>中段下行弯</x:v>
      </x:c>
    </x:row>
    <x:row r="115" ht="20" customHeight="1">
      <x:c r="A115" s="73" t="n">
        <x:v>17</x:v>
      </x:c>
      <x:c r="B115" s="73" t="n">
        <x:v>6</x:v>
      </x:c>
      <x:c r="C115" s="73" t="str">
        <x:f>INDEX(Drivers!$B$8:$B$13,B115)</x:f>
        <x:v>玫速</x:v>
      </x:c>
      <x:c r="D115" s="83" t="n">
        <x:f>G109</x:f>
        <x:v>42.97255175510697</x:v>
      </x:c>
      <x:c r="E115" s="83" t="str">
        <x:f>IF(A115=0,"GRID",IF(D115&gt;=Control!$B$17,"FINISHED",IF(AND(A115&gt;=INDEX(Drivers!$G$8:$G$13,B115),A115&lt;INDEX(Drivers!$G$8:$G$13,B115)+INDEX(Drivers!$J$8:$J$13,B115)),"PIT",IF(MOD(A115+INDEX(Drivers!$F$8:$F$13,B115),Control!$B$11)&lt;Control!$B$13,"BOOST","RACE"))))</x:f>
        <x:v>BOOST</x:v>
      </x:c>
      <x:c r="F115" s="83" t="n">
        <x:f>IF(OR(E115="GRID",E115="FINISHED",E115="PIT"),0,MAX(Control!$B$15,(INDEX(Drivers!$D$8:$D$13,B115)+INDEX(Drivers!$E$8:$E$13,B115)*SIN((A115+INDEX(Drivers!$F$8:$F$13,B115)+Control!$B$16)*Control!$B$14))*INDEX(TrackMap!$M$8:$M$141,MOD(INT(D115)-1,Control!$B$7)+1)*IF(E115="BOOST",Control!$B$12,1)))</x:f>
        <x:v>3.9806609296314632</x:v>
      </x:c>
      <x:c r="G115" s="83" t="n">
        <x:f>IF(A115=0,D115,MIN(Control!$B$17,D115+F115))</x:f>
        <x:v>46.95321268473843</x:v>
      </x:c>
      <x:c r="H115" s="73" t="n">
        <x:f>MOD(INT(G115)-1,Control!$B$7)+1</x:f>
        <x:v>46</x:v>
      </x:c>
      <x:c r="I115" s="73" t="n">
        <x:f>MIN(Control!$B$6,MAX(1,INT(MAX(0,G115)/Control!$B$7)+1))</x:f>
        <x:v>1</x:v>
      </x:c>
      <x:c r="J115" s="73" t="n">
        <x:f>INDEX(Drivers!$H$8:$H$13,B115)</x:f>
        <x:v>2</x:v>
      </x:c>
      <x:c r="K115" s="73" t="n">
        <x:f>IF(J115=1,INDEX(TrackMap!$I$8:$I$141,H115),INDEX(TrackMap!$L$8:$L$141,H115))</x:f>
        <x:v>1320</x:v>
      </x:c>
      <x:c r="L115" s="73" t="str">
        <x:f>INDEX(TrackMap!$F$8:$F$141,H115)</x:f>
        <x:v>↓</x:v>
      </x:c>
      <x:c r="M115" s="87" t="n">
        <x:f>MAX(0,G115/Control!$B$17)</x:f>
        <x:v>0.07007942191752005</x:v>
      </x:c>
      <x:c r="N115" s="73" t="n">
        <x:f>IF(N109&gt;0,N109,IF(G115&gt;=Control!$B$17,A115,0))</x:f>
        <x:v>0</x:v>
      </x:c>
      <x:c r="O115" s="91" t="n">
        <x:f>IF(N115&gt;0,Control!$B$17+Control!$B$8+1-N115,G115)-B115/100000</x:f>
        <x:v>46.953152684738434</x:v>
      </x:c>
      <x:c r="P115" s="73" t="n">
        <x:f>COUNTIF($O$110:$O$115,"&gt;"&amp;O115)+1</x:f>
        <x:v>5</x:v>
      </x:c>
      <x:c r="Q115" s="83" t="n">
        <x:f>MAX($G$110:$G$115)-G115</x:f>
        <x:v>7.309246723024067</x:v>
      </x:c>
      <x:c r="R115" s="73" t="str">
        <x:f>INDEX(TrackMap!$B$8:$B$141,H115)</x:f>
        <x:v>中段下行弯</x:v>
      </x:c>
    </x:row>
    <x:row r="116" ht="20" customHeight="1">
      <x:c r="A116" s="73" t="n">
        <x:v>18</x:v>
      </x:c>
      <x:c r="B116" s="73" t="n">
        <x:v>1</x:v>
      </x:c>
      <x:c r="C116" s="73" t="str">
        <x:f>INDEX(Drivers!$B$8:$B$13,B116)</x:f>
        <x:v>赤焰</x:v>
      </x:c>
      <x:c r="D116" s="83" t="n">
        <x:f>G110</x:f>
        <x:v>53.9437572176228</x:v>
      </x:c>
      <x:c r="E116" s="83" t="str">
        <x:f>IF(A116=0,"GRID",IF(D116&gt;=Control!$B$17,"FINISHED",IF(AND(A116&gt;=INDEX(Drivers!$G$8:$G$13,B116),A116&lt;INDEX(Drivers!$G$8:$G$13,B116)+INDEX(Drivers!$J$8:$J$13,B116)),"PIT",IF(MOD(A116+INDEX(Drivers!$F$8:$F$13,B116),Control!$B$11)&lt;Control!$B$13,"BOOST","RACE"))))</x:f>
        <x:v>RACE</x:v>
      </x:c>
      <x:c r="F116" s="83" t="n">
        <x:f>IF(OR(E116="GRID",E116="FINISHED",E116="PIT"),0,MAX(Control!$B$15,(INDEX(Drivers!$D$8:$D$13,B116)+INDEX(Drivers!$E$8:$E$13,B116)*SIN((A116+INDEX(Drivers!$F$8:$F$13,B116)+Control!$B$16)*Control!$B$14))*INDEX(TrackMap!$M$8:$M$141,MOD(INT(D116)-1,Control!$B$7)+1)*IF(E116="BOOST",Control!$B$12,1)))</x:f>
        <x:v>3.2847116020639477</x:v>
      </x:c>
      <x:c r="G116" s="83" t="n">
        <x:f>IF(A116=0,D116,MIN(Control!$B$17,D116+F116))</x:f>
        <x:v>57.22846881968675</x:v>
      </x:c>
      <x:c r="H116" s="73" t="n">
        <x:f>MOD(INT(G116)-1,Control!$B$7)+1</x:f>
        <x:v>57</x:v>
      </x:c>
      <x:c r="I116" s="73" t="n">
        <x:f>MIN(Control!$B$6,MAX(1,INT(MAX(0,G116)/Control!$B$7)+1))</x:f>
        <x:v>1</x:v>
      </x:c>
      <x:c r="J116" s="73" t="n">
        <x:f>INDEX(Drivers!$H$8:$H$13,B116)</x:f>
        <x:v>1</x:v>
      </x:c>
      <x:c r="K116" s="73" t="n">
        <x:f>IF(J116=1,INDEX(TrackMap!$I$8:$I$141,H116),INDEX(TrackMap!$L$8:$L$141,H116))</x:f>
        <x:v>1630</x:v>
      </x:c>
      <x:c r="L116" s="73" t="str">
        <x:f>INDEX(TrackMap!$F$8:$F$141,H116)</x:f>
        <x:v>→</x:v>
      </x:c>
      <x:c r="M116" s="87" t="n">
        <x:f>MAX(0,G116/Control!$B$17)</x:f>
        <x:v>0.08541562510401007</x:v>
      </x:c>
      <x:c r="N116" s="73" t="n">
        <x:f>IF(N110&gt;0,N110,IF(G116&gt;=Control!$B$17,A116,0))</x:f>
        <x:v>0</x:v>
      </x:c>
      <x:c r="O116" s="91" t="n">
        <x:f>IF(N116&gt;0,Control!$B$17+Control!$B$8+1-N116,G116)-B116/100000</x:f>
        <x:v>57.22845881968675</x:v>
      </x:c>
      <x:c r="P116" s="73" t="n">
        <x:f>COUNTIF($O$116:$O$121,"&gt;"&amp;O116)+1</x:f>
        <x:v>3</x:v>
      </x:c>
      <x:c r="Q116" s="83" t="n">
        <x:f>MAX($G$116:$G$121)-G116</x:f>
        <x:v>1.0337516795895283</x:v>
      </x:c>
      <x:c r="R116" s="73" t="str">
        <x:f>INDEX(TrackMap!$B$8:$B$141,H116)</x:f>
        <x:v>中央高速直道</x:v>
      </x:c>
    </x:row>
    <x:row r="117" ht="20" customHeight="1">
      <x:c r="A117" s="73" t="n">
        <x:v>18</x:v>
      </x:c>
      <x:c r="B117" s="73" t="n">
        <x:v>2</x:v>
      </x:c>
      <x:c r="C117" s="73" t="str">
        <x:f>INDEX(Drivers!$B$8:$B$13,B117)</x:f>
        <x:v>蓝电</x:v>
      </x:c>
      <x:c r="D117" s="83" t="n">
        <x:f>G111</x:f>
        <x:v>51.96942468996487</x:v>
      </x:c>
      <x:c r="E117" s="83" t="str">
        <x:f>IF(A117=0,"GRID",IF(D117&gt;=Control!$B$17,"FINISHED",IF(AND(A117&gt;=INDEX(Drivers!$G$8:$G$13,B117),A117&lt;INDEX(Drivers!$G$8:$G$13,B117)+INDEX(Drivers!$J$8:$J$13,B117)),"PIT",IF(MOD(A117+INDEX(Drivers!$F$8:$F$13,B117),Control!$B$11)&lt;Control!$B$13,"BOOST","RACE"))))</x:f>
        <x:v>RACE</x:v>
      </x:c>
      <x:c r="F117" s="83" t="n">
        <x:f>IF(OR(E117="GRID",E117="FINISHED",E117="PIT"),0,MAX(Control!$B$15,(INDEX(Drivers!$D$8:$D$13,B117)+INDEX(Drivers!$E$8:$E$13,B117)*SIN((A117+INDEX(Drivers!$F$8:$F$13,B117)+Control!$B$16)*Control!$B$14))*INDEX(TrackMap!$M$8:$M$141,MOD(INT(D117)-1,Control!$B$7)+1)*IF(E117="BOOST",Control!$B$12,1)))</x:f>
        <x:v>4.154457946947328</x:v>
      </x:c>
      <x:c r="G117" s="83" t="n">
        <x:f>IF(A117=0,D117,MIN(Control!$B$17,D117+F117))</x:f>
        <x:v>56.1238826369122</x:v>
      </x:c>
      <x:c r="H117" s="73" t="n">
        <x:f>MOD(INT(G117)-1,Control!$B$7)+1</x:f>
        <x:v>56</x:v>
      </x:c>
      <x:c r="I117" s="73" t="n">
        <x:f>MIN(Control!$B$6,MAX(1,INT(MAX(0,G117)/Control!$B$7)+1))</x:f>
        <x:v>1</x:v>
      </x:c>
      <x:c r="J117" s="73" t="n">
        <x:f>INDEX(Drivers!$H$8:$H$13,B117)</x:f>
        <x:v>2</x:v>
      </x:c>
      <x:c r="K117" s="73" t="n">
        <x:f>IF(J117=1,INDEX(TrackMap!$I$8:$I$141,H117),INDEX(TrackMap!$L$8:$L$141,H117))</x:f>
        <x:v>1529</x:v>
      </x:c>
      <x:c r="L117" s="73" t="str">
        <x:f>INDEX(TrackMap!$F$8:$F$141,H117)</x:f>
        <x:v>→</x:v>
      </x:c>
      <x:c r="M117" s="87" t="n">
        <x:f>MAX(0,G117/Control!$B$17)</x:f>
        <x:v>0.08376698901031672</x:v>
      </x:c>
      <x:c r="N117" s="73" t="n">
        <x:f>IF(N111&gt;0,N111,IF(G117&gt;=Control!$B$17,A117,0))</x:f>
        <x:v>0</x:v>
      </x:c>
      <x:c r="O117" s="91" t="n">
        <x:f>IF(N117&gt;0,Control!$B$17+Control!$B$8+1-N117,G117)-B117/100000</x:f>
        <x:v>56.1238626369122</x:v>
      </x:c>
      <x:c r="P117" s="73" t="n">
        <x:f>COUNTIF($O$116:$O$121,"&gt;"&amp;O117)+1</x:f>
        <x:v>4</x:v>
      </x:c>
      <x:c r="Q117" s="83" t="n">
        <x:f>MAX($G$116:$G$121)-G117</x:f>
        <x:v>2.1383378623640823</x:v>
      </x:c>
      <x:c r="R117" s="73" t="str">
        <x:f>INDEX(TrackMap!$B$8:$B$141,H117)</x:f>
        <x:v>中央高速直道</x:v>
      </x:c>
    </x:row>
    <x:row r="118" ht="20" customHeight="1">
      <x:c r="A118" s="73" t="n">
        <x:v>18</x:v>
      </x:c>
      <x:c r="B118" s="73" t="n">
        <x:v>3</x:v>
      </x:c>
      <x:c r="C118" s="73" t="str">
        <x:f>INDEX(Drivers!$B$8:$B$13,B118)</x:f>
        <x:v>金翼</x:v>
      </x:c>
      <x:c r="D118" s="83" t="n">
        <x:f>G112</x:f>
        <x:v>53.8264544250787</x:v>
      </x:c>
      <x:c r="E118" s="83" t="str">
        <x:f>IF(A118=0,"GRID",IF(D118&gt;=Control!$B$17,"FINISHED",IF(AND(A118&gt;=INDEX(Drivers!$G$8:$G$13,B118),A118&lt;INDEX(Drivers!$G$8:$G$13,B118)+INDEX(Drivers!$J$8:$J$13,B118)),"PIT",IF(MOD(A118+INDEX(Drivers!$F$8:$F$13,B118),Control!$B$11)&lt;Control!$B$13,"BOOST","RACE"))))</x:f>
        <x:v>BOOST</x:v>
      </x:c>
      <x:c r="F118" s="83" t="n">
        <x:f>IF(OR(E118="GRID",E118="FINISHED",E118="PIT"),0,MAX(Control!$B$15,(INDEX(Drivers!$D$8:$D$13,B118)+INDEX(Drivers!$E$8:$E$13,B118)*SIN((A118+INDEX(Drivers!$F$8:$F$13,B118)+Control!$B$16)*Control!$B$14))*INDEX(TrackMap!$M$8:$M$141,MOD(INT(D118)-1,Control!$B$7)+1)*IF(E118="BOOST",Control!$B$12,1)))</x:f>
        <x:v>4.342472019894827</x:v>
      </x:c>
      <x:c r="G118" s="83" t="n">
        <x:f>IF(A118=0,D118,MIN(Control!$B$17,D118+F118))</x:f>
        <x:v>58.16892644497353</x:v>
      </x:c>
      <x:c r="H118" s="73" t="n">
        <x:f>MOD(INT(G118)-1,Control!$B$7)+1</x:f>
        <x:v>58</x:v>
      </x:c>
      <x:c r="I118" s="73" t="n">
        <x:f>MIN(Control!$B$6,MAX(1,INT(MAX(0,G118)/Control!$B$7)+1))</x:f>
        <x:v>1</x:v>
      </x:c>
      <x:c r="J118" s="73" t="n">
        <x:f>INDEX(Drivers!$H$8:$H$13,B118)</x:f>
        <x:v>1</x:v>
      </x:c>
      <x:c r="K118" s="73" t="n">
        <x:f>IF(J118=1,INDEX(TrackMap!$I$8:$I$141,H118),INDEX(TrackMap!$L$8:$L$141,H118))</x:f>
        <x:v>1631</x:v>
      </x:c>
      <x:c r="L118" s="73" t="str">
        <x:f>INDEX(TrackMap!$F$8:$F$141,H118)</x:f>
        <x:v>→</x:v>
      </x:c>
      <x:c r="M118" s="87" t="n">
        <x:f>MAX(0,G118/Control!$B$17)</x:f>
        <x:v>0.08681929320145303</x:v>
      </x:c>
      <x:c r="N118" s="73" t="n">
        <x:f>IF(N112&gt;0,N112,IF(G118&gt;=Control!$B$17,A118,0))</x:f>
        <x:v>0</x:v>
      </x:c>
      <x:c r="O118" s="91" t="n">
        <x:f>IF(N118&gt;0,Control!$B$17+Control!$B$8+1-N118,G118)-B118/100000</x:f>
        <x:v>58.16889644497353</x:v>
      </x:c>
      <x:c r="P118" s="73" t="n">
        <x:f>COUNTIF($O$116:$O$121,"&gt;"&amp;O118)+1</x:f>
        <x:v>2</x:v>
      </x:c>
      <x:c r="Q118" s="83" t="n">
        <x:f>MAX($G$116:$G$121)-G118</x:f>
        <x:v>0.09329405430275273</x:v>
      </x:c>
      <x:c r="R118" s="73" t="str">
        <x:f>INDEX(TrackMap!$B$8:$B$141,H118)</x:f>
        <x:v>中央高速直道</x:v>
      </x:c>
    </x:row>
    <x:row r="119" ht="20" customHeight="1">
      <x:c r="A119" s="73" t="n">
        <x:v>18</x:v>
      </x:c>
      <x:c r="B119" s="73" t="n">
        <x:v>4</x:v>
      </x:c>
      <x:c r="C119" s="73" t="str">
        <x:f>INDEX(Drivers!$B$8:$B$13,B119)</x:f>
        <x:v>紫影</x:v>
      </x:c>
      <x:c r="D119" s="83" t="n">
        <x:f>G113</x:f>
        <x:v>54.2624594077625</x:v>
      </x:c>
      <x:c r="E119" s="83" t="str">
        <x:f>IF(A119=0,"GRID",IF(D119&gt;=Control!$B$17,"FINISHED",IF(AND(A119&gt;=INDEX(Drivers!$G$8:$G$13,B119),A119&lt;INDEX(Drivers!$G$8:$G$13,B119)+INDEX(Drivers!$J$8:$J$13,B119)),"PIT",IF(MOD(A119+INDEX(Drivers!$F$8:$F$13,B119),Control!$B$11)&lt;Control!$B$13,"BOOST","RACE"))))</x:f>
        <x:v>RACE</x:v>
      </x:c>
      <x:c r="F119" s="83" t="n">
        <x:f>IF(OR(E119="GRID",E119="FINISHED",E119="PIT"),0,MAX(Control!$B$15,(INDEX(Drivers!$D$8:$D$13,B119)+INDEX(Drivers!$E$8:$E$13,B119)*SIN((A119+INDEX(Drivers!$F$8:$F$13,B119)+Control!$B$16)*Control!$B$14))*INDEX(TrackMap!$M$8:$M$141,MOD(INT(D119)-1,Control!$B$7)+1)*IF(E119="BOOST",Control!$B$12,1)))</x:f>
        <x:v>3.9997610915137845</x:v>
      </x:c>
      <x:c r="G119" s="83" t="n">
        <x:f>IF(A119=0,D119,MIN(Control!$B$17,D119+F119))</x:f>
        <x:v>58.26222049927628</x:v>
      </x:c>
      <x:c r="H119" s="73" t="n">
        <x:f>MOD(INT(G119)-1,Control!$B$7)+1</x:f>
        <x:v>58</x:v>
      </x:c>
      <x:c r="I119" s="73" t="n">
        <x:f>MIN(Control!$B$6,MAX(1,INT(MAX(0,G119)/Control!$B$7)+1))</x:f>
        <x:v>1</x:v>
      </x:c>
      <x:c r="J119" s="73" t="n">
        <x:f>INDEX(Drivers!$H$8:$H$13,B119)</x:f>
        <x:v>2</x:v>
      </x:c>
      <x:c r="K119" s="73" t="n">
        <x:f>IF(J119=1,INDEX(TrackMap!$I$8:$I$141,H119),INDEX(TrackMap!$L$8:$L$141,H119))</x:f>
        <x:v>1531</x:v>
      </x:c>
      <x:c r="L119" s="73" t="str">
        <x:f>INDEX(TrackMap!$F$8:$F$141,H119)</x:f>
        <x:v>→</x:v>
      </x:c>
      <x:c r="M119" s="87" t="n">
        <x:f>MAX(0,G119/Control!$B$17)</x:f>
        <x:v>0.08695853805862132</x:v>
      </x:c>
      <x:c r="N119" s="73" t="n">
        <x:f>IF(N113&gt;0,N113,IF(G119&gt;=Control!$B$17,A119,0))</x:f>
        <x:v>0</x:v>
      </x:c>
      <x:c r="O119" s="91" t="n">
        <x:f>IF(N119&gt;0,Control!$B$17+Control!$B$8+1-N119,G119)-B119/100000</x:f>
        <x:v>58.26218049927628</x:v>
      </x:c>
      <x:c r="P119" s="73" t="n">
        <x:f>COUNTIF($O$116:$O$121,"&gt;"&amp;O119)+1</x:f>
        <x:v>1</x:v>
      </x:c>
      <x:c r="Q119" s="83" t="n">
        <x:f>MAX($G$116:$G$121)-G119</x:f>
        <x:v>0</x:v>
      </x:c>
      <x:c r="R119" s="73" t="str">
        <x:f>INDEX(TrackMap!$B$8:$B$141,H119)</x:f>
        <x:v>中央高速直道</x:v>
      </x:c>
    </x:row>
    <x:row r="120" ht="20" customHeight="1">
      <x:c r="A120" s="73" t="n">
        <x:v>18</x:v>
      </x:c>
      <x:c r="B120" s="73" t="n">
        <x:v>5</x:v>
      </x:c>
      <x:c r="C120" s="73" t="str">
        <x:f>INDEX(Drivers!$B$8:$B$13,B120)</x:f>
        <x:v>青锋</x:v>
      </x:c>
      <x:c r="D120" s="83" t="n">
        <x:f>G114</x:f>
        <x:v>46.65923703088812</x:v>
      </x:c>
      <x:c r="E120" s="83" t="str">
        <x:f>IF(A120=0,"GRID",IF(D120&gt;=Control!$B$17,"FINISHED",IF(AND(A120&gt;=INDEX(Drivers!$G$8:$G$13,B120),A120&lt;INDEX(Drivers!$G$8:$G$13,B120)+INDEX(Drivers!$J$8:$J$13,B120)),"PIT",IF(MOD(A120+INDEX(Drivers!$F$8:$F$13,B120),Control!$B$11)&lt;Control!$B$13,"BOOST","RACE"))))</x:f>
        <x:v>RACE</x:v>
      </x:c>
      <x:c r="F120" s="83" t="n">
        <x:f>IF(OR(E120="GRID",E120="FINISHED",E120="PIT"),0,MAX(Control!$B$15,(INDEX(Drivers!$D$8:$D$13,B120)+INDEX(Drivers!$E$8:$E$13,B120)*SIN((A120+INDEX(Drivers!$F$8:$F$13,B120)+Control!$B$16)*Control!$B$14))*INDEX(TrackMap!$M$8:$M$141,MOD(INT(D120)-1,Control!$B$7)+1)*IF(E120="BOOST",Control!$B$12,1)))</x:f>
        <x:v>3.9858307198417666</x:v>
      </x:c>
      <x:c r="G120" s="83" t="n">
        <x:f>IF(A120=0,D120,MIN(Control!$B$17,D120+F120))</x:f>
        <x:v>50.645067750729886</x:v>
      </x:c>
      <x:c r="H120" s="73" t="n">
        <x:f>MOD(INT(G120)-1,Control!$B$7)+1</x:f>
        <x:v>50</x:v>
      </x:c>
      <x:c r="I120" s="73" t="n">
        <x:f>MIN(Control!$B$6,MAX(1,INT(MAX(0,G120)/Control!$B$7)+1))</x:f>
        <x:v>1</x:v>
      </x:c>
      <x:c r="J120" s="73" t="n">
        <x:f>INDEX(Drivers!$H$8:$H$13,B120)</x:f>
        <x:v>1</x:v>
      </x:c>
      <x:c r="K120" s="73" t="n">
        <x:f>IF(J120=1,INDEX(TrackMap!$I$8:$I$141,H120),INDEX(TrackMap!$L$8:$L$141,H120))</x:f>
        <x:v>1623</x:v>
      </x:c>
      <x:c r="L120" s="73" t="str">
        <x:f>INDEX(TrackMap!$F$8:$F$141,H120)</x:f>
        <x:v>→</x:v>
      </x:c>
      <x:c r="M120" s="87" t="n">
        <x:f>MAX(0,G120/Control!$B$17)</x:f>
        <x:v>0.07558965335929833</x:v>
      </x:c>
      <x:c r="N120" s="73" t="n">
        <x:f>IF(N114&gt;0,N114,IF(G120&gt;=Control!$B$17,A120,0))</x:f>
        <x:v>0</x:v>
      </x:c>
      <x:c r="O120" s="91" t="n">
        <x:f>IF(N120&gt;0,Control!$B$17+Control!$B$8+1-N120,G120)-B120/100000</x:f>
        <x:v>50.645017750729885</x:v>
      </x:c>
      <x:c r="P120" s="73" t="n">
        <x:f>COUNTIF($O$116:$O$121,"&gt;"&amp;O120)+1</x:f>
        <x:v>6</x:v>
      </x:c>
      <x:c r="Q120" s="83" t="n">
        <x:f>MAX($G$116:$G$121)-G120</x:f>
        <x:v>7.6171527485463955</x:v>
      </x:c>
      <x:c r="R120" s="73" t="str">
        <x:f>INDEX(TrackMap!$B$8:$B$141,H120)</x:f>
        <x:v>中央高速直道</x:v>
      </x:c>
    </x:row>
    <x:row r="121" ht="20" customHeight="1">
      <x:c r="A121" s="73" t="n">
        <x:v>18</x:v>
      </x:c>
      <x:c r="B121" s="73" t="n">
        <x:v>6</x:v>
      </x:c>
      <x:c r="C121" s="73" t="str">
        <x:f>INDEX(Drivers!$B$8:$B$13,B121)</x:f>
        <x:v>玫速</x:v>
      </x:c>
      <x:c r="D121" s="83" t="n">
        <x:f>G115</x:f>
        <x:v>46.95321268473843</x:v>
      </x:c>
      <x:c r="E121" s="83" t="str">
        <x:f>IF(A121=0,"GRID",IF(D121&gt;=Control!$B$17,"FINISHED",IF(AND(A121&gt;=INDEX(Drivers!$G$8:$G$13,B121),A121&lt;INDEX(Drivers!$G$8:$G$13,B121)+INDEX(Drivers!$J$8:$J$13,B121)),"PIT",IF(MOD(A121+INDEX(Drivers!$F$8:$F$13,B121),Control!$B$11)&lt;Control!$B$13,"BOOST","RACE"))))</x:f>
        <x:v>BOOST</x:v>
      </x:c>
      <x:c r="F121" s="83" t="n">
        <x:f>IF(OR(E121="GRID",E121="FINISHED",E121="PIT"),0,MAX(Control!$B$15,(INDEX(Drivers!$D$8:$D$13,B121)+INDEX(Drivers!$E$8:$E$13,B121)*SIN((A121+INDEX(Drivers!$F$8:$F$13,B121)+Control!$B$16)*Control!$B$14))*INDEX(TrackMap!$M$8:$M$141,MOD(INT(D121)-1,Control!$B$7)+1)*IF(E121="BOOST",Control!$B$12,1)))</x:f>
        <x:v>4.805461309209533</x:v>
      </x:c>
      <x:c r="G121" s="83" t="n">
        <x:f>IF(A121=0,D121,MIN(Control!$B$17,D121+F121))</x:f>
        <x:v>51.758673993947966</x:v>
      </x:c>
      <x:c r="H121" s="73" t="n">
        <x:f>MOD(INT(G121)-1,Control!$B$7)+1</x:f>
        <x:v>51</x:v>
      </x:c>
      <x:c r="I121" s="73" t="n">
        <x:f>MIN(Control!$B$6,MAX(1,INT(MAX(0,G121)/Control!$B$7)+1))</x:f>
        <x:v>1</x:v>
      </x:c>
      <x:c r="J121" s="73" t="n">
        <x:f>INDEX(Drivers!$H$8:$H$13,B121)</x:f>
        <x:v>2</x:v>
      </x:c>
      <x:c r="K121" s="73" t="n">
        <x:f>IF(J121=1,INDEX(TrackMap!$I$8:$I$141,H121),INDEX(TrackMap!$L$8:$L$141,H121))</x:f>
        <x:v>1524</x:v>
      </x:c>
      <x:c r="L121" s="73" t="str">
        <x:f>INDEX(TrackMap!$F$8:$F$141,H121)</x:f>
        <x:v>→</x:v>
      </x:c>
      <x:c r="M121" s="87" t="n">
        <x:f>MAX(0,G121/Control!$B$17)</x:f>
        <x:v>0.07725175222977308</x:v>
      </x:c>
      <x:c r="N121" s="73" t="n">
        <x:f>IF(N115&gt;0,N115,IF(G121&gt;=Control!$B$17,A121,0))</x:f>
        <x:v>0</x:v>
      </x:c>
      <x:c r="O121" s="91" t="n">
        <x:f>IF(N121&gt;0,Control!$B$17+Control!$B$8+1-N121,G121)-B121/100000</x:f>
        <x:v>51.75861399394797</x:v>
      </x:c>
      <x:c r="P121" s="73" t="n">
        <x:f>COUNTIF($O$116:$O$121,"&gt;"&amp;O121)+1</x:f>
        <x:v>5</x:v>
      </x:c>
      <x:c r="Q121" s="83" t="n">
        <x:f>MAX($G$116:$G$121)-G121</x:f>
        <x:v>6.503546505328316</x:v>
      </x:c>
      <x:c r="R121" s="73" t="str">
        <x:f>INDEX(TrackMap!$B$8:$B$141,H121)</x:f>
        <x:v>中央高速直道</x:v>
      </x:c>
    </x:row>
    <x:row r="122" ht="20" customHeight="1">
      <x:c r="A122" s="73" t="n">
        <x:v>19</x:v>
      </x:c>
      <x:c r="B122" s="73" t="n">
        <x:v>1</x:v>
      </x:c>
      <x:c r="C122" s="73" t="str">
        <x:f>INDEX(Drivers!$B$8:$B$13,B122)</x:f>
        <x:v>赤焰</x:v>
      </x:c>
      <x:c r="D122" s="83" t="n">
        <x:f>G116</x:f>
        <x:v>57.22846881968675</x:v>
      </x:c>
      <x:c r="E122" s="83" t="str">
        <x:f>IF(A122=0,"GRID",IF(D122&gt;=Control!$B$17,"FINISHED",IF(AND(A122&gt;=INDEX(Drivers!$G$8:$G$13,B122),A122&lt;INDEX(Drivers!$G$8:$G$13,B122)+INDEX(Drivers!$J$8:$J$13,B122)),"PIT",IF(MOD(A122+INDEX(Drivers!$F$8:$F$13,B122),Control!$B$11)&lt;Control!$B$13,"BOOST","RACE"))))</x:f>
        <x:v>RACE</x:v>
      </x:c>
      <x:c r="F122" s="83" t="n">
        <x:f>IF(OR(E122="GRID",E122="FINISHED",E122="PIT"),0,MAX(Control!$B$15,(INDEX(Drivers!$D$8:$D$13,B122)+INDEX(Drivers!$E$8:$E$13,B122)*SIN((A122+INDEX(Drivers!$F$8:$F$13,B122)+Control!$B$16)*Control!$B$14))*INDEX(TrackMap!$M$8:$M$141,MOD(INT(D122)-1,Control!$B$7)+1)*IF(E122="BOOST",Control!$B$12,1)))</x:f>
        <x:v>3.458118645452666</x:v>
      </x:c>
      <x:c r="G122" s="83" t="n">
        <x:f>IF(A122=0,D122,MIN(Control!$B$17,D122+F122))</x:f>
        <x:v>60.68658746513942</x:v>
      </x:c>
      <x:c r="H122" s="73" t="n">
        <x:f>MOD(INT(G122)-1,Control!$B$7)+1</x:f>
        <x:v>60</x:v>
      </x:c>
      <x:c r="I122" s="73" t="n">
        <x:f>MIN(Control!$B$6,MAX(1,INT(MAX(0,G122)/Control!$B$7)+1))</x:f>
        <x:v>1</x:v>
      </x:c>
      <x:c r="J122" s="73" t="n">
        <x:f>INDEX(Drivers!$H$8:$H$13,B122)</x:f>
        <x:v>1</x:v>
      </x:c>
      <x:c r="K122" s="73" t="n">
        <x:f>IF(J122=1,INDEX(TrackMap!$I$8:$I$141,H122),INDEX(TrackMap!$L$8:$L$141,H122))</x:f>
        <x:v>1633</x:v>
      </x:c>
      <x:c r="L122" s="73" t="str">
        <x:f>INDEX(TrackMap!$F$8:$F$141,H122)</x:f>
        <x:v>→</x:v>
      </x:c>
      <x:c r="M122" s="87" t="n">
        <x:f>MAX(0,G122/Control!$B$17)</x:f>
        <x:v>0.090576996216626</x:v>
      </x:c>
      <x:c r="N122" s="73" t="n">
        <x:f>IF(N116&gt;0,N116,IF(G122&gt;=Control!$B$17,A122,0))</x:f>
        <x:v>0</x:v>
      </x:c>
      <x:c r="O122" s="91" t="n">
        <x:f>IF(N122&gt;0,Control!$B$17+Control!$B$8+1-N122,G122)-B122/100000</x:f>
        <x:v>60.686577465139415</x:v>
      </x:c>
      <x:c r="P122" s="73" t="n">
        <x:f>COUNTIF($O$122:$O$127,"&gt;"&amp;O122)+1</x:f>
        <x:v>3</x:v>
      </x:c>
      <x:c r="Q122" s="83" t="n">
        <x:f>MAX($G$122:$G$127)-G122</x:f>
        <x:v>1.7003019450999233</x:v>
      </x:c>
      <x:c r="R122" s="73" t="str">
        <x:f>INDEX(TrackMap!$B$8:$B$141,H122)</x:f>
        <x:v>中央高速直道</x:v>
      </x:c>
    </x:row>
    <x:row r="123" ht="20" customHeight="1">
      <x:c r="A123" s="73" t="n">
        <x:v>19</x:v>
      </x:c>
      <x:c r="B123" s="73" t="n">
        <x:v>2</x:v>
      </x:c>
      <x:c r="C123" s="73" t="str">
        <x:f>INDEX(Drivers!$B$8:$B$13,B123)</x:f>
        <x:v>蓝电</x:v>
      </x:c>
      <x:c r="D123" s="83" t="n">
        <x:f>G117</x:f>
        <x:v>56.1238826369122</x:v>
      </x:c>
      <x:c r="E123" s="83" t="str">
        <x:f>IF(A123=0,"GRID",IF(D123&gt;=Control!$B$17,"FINISHED",IF(AND(A123&gt;=INDEX(Drivers!$G$8:$G$13,B123),A123&lt;INDEX(Drivers!$G$8:$G$13,B123)+INDEX(Drivers!$J$8:$J$13,B123)),"PIT",IF(MOD(A123+INDEX(Drivers!$F$8:$F$13,B123),Control!$B$11)&lt;Control!$B$13,"BOOST","RACE"))))</x:f>
        <x:v>RACE</x:v>
      </x:c>
      <x:c r="F123" s="83" t="n">
        <x:f>IF(OR(E123="GRID",E123="FINISHED",E123="PIT"),0,MAX(Control!$B$15,(INDEX(Drivers!$D$8:$D$13,B123)+INDEX(Drivers!$E$8:$E$13,B123)*SIN((A123+INDEX(Drivers!$F$8:$F$13,B123)+Control!$B$16)*Control!$B$14))*INDEX(TrackMap!$M$8:$M$141,MOD(INT(D123)-1,Control!$B$7)+1)*IF(E123="BOOST",Control!$B$12,1)))</x:f>
        <x:v>4.05295124042519</x:v>
      </x:c>
      <x:c r="G123" s="83" t="n">
        <x:f>IF(A123=0,D123,MIN(Control!$B$17,D123+F123))</x:f>
        <x:v>60.17683387733739</x:v>
      </x:c>
      <x:c r="H123" s="73" t="n">
        <x:f>MOD(INT(G123)-1,Control!$B$7)+1</x:f>
        <x:v>60</x:v>
      </x:c>
      <x:c r="I123" s="73" t="n">
        <x:f>MIN(Control!$B$6,MAX(1,INT(MAX(0,G123)/Control!$B$7)+1))</x:f>
        <x:v>1</x:v>
      </x:c>
      <x:c r="J123" s="73" t="n">
        <x:f>INDEX(Drivers!$H$8:$H$13,B123)</x:f>
        <x:v>2</x:v>
      </x:c>
      <x:c r="K123" s="73" t="n">
        <x:f>IF(J123=1,INDEX(TrackMap!$I$8:$I$141,H123),INDEX(TrackMap!$L$8:$L$141,H123))</x:f>
        <x:v>1533</x:v>
      </x:c>
      <x:c r="L123" s="73" t="str">
        <x:f>INDEX(TrackMap!$F$8:$F$141,H123)</x:f>
        <x:v>→</x:v>
      </x:c>
      <x:c r="M123" s="87" t="n">
        <x:f>MAX(0,G123/Control!$B$17)</x:f>
        <x:v>0.08981616996617521</x:v>
      </x:c>
      <x:c r="N123" s="73" t="n">
        <x:f>IF(N117&gt;0,N117,IF(G123&gt;=Control!$B$17,A123,0))</x:f>
        <x:v>0</x:v>
      </x:c>
      <x:c r="O123" s="91" t="n">
        <x:f>IF(N123&gt;0,Control!$B$17+Control!$B$8+1-N123,G123)-B123/100000</x:f>
        <x:v>60.17681387733739</x:v>
      </x:c>
      <x:c r="P123" s="73" t="n">
        <x:f>COUNTIF($O$122:$O$127,"&gt;"&amp;O123)+1</x:f>
        <x:v>4</x:v>
      </x:c>
      <x:c r="Q123" s="83" t="n">
        <x:f>MAX($G$122:$G$127)-G123</x:f>
        <x:v>2.2100555329019542</x:v>
      </x:c>
      <x:c r="R123" s="73" t="str">
        <x:f>INDEX(TrackMap!$B$8:$B$141,H123)</x:f>
        <x:v>中央高速直道</x:v>
      </x:c>
    </x:row>
    <x:row r="124" ht="20" customHeight="1">
      <x:c r="A124" s="73" t="n">
        <x:v>19</x:v>
      </x:c>
      <x:c r="B124" s="73" t="n">
        <x:v>3</x:v>
      </x:c>
      <x:c r="C124" s="73" t="str">
        <x:f>INDEX(Drivers!$B$8:$B$13,B124)</x:f>
        <x:v>金翼</x:v>
      </x:c>
      <x:c r="D124" s="83" t="n">
        <x:f>G118</x:f>
        <x:v>58.16892644497353</x:v>
      </x:c>
      <x:c r="E124" s="83" t="str">
        <x:f>IF(A124=0,"GRID",IF(D124&gt;=Control!$B$17,"FINISHED",IF(AND(A124&gt;=INDEX(Drivers!$G$8:$G$13,B124),A124&lt;INDEX(Drivers!$G$8:$G$13,B124)+INDEX(Drivers!$J$8:$J$13,B124)),"PIT",IF(MOD(A124+INDEX(Drivers!$F$8:$F$13,B124),Control!$B$11)&lt;Control!$B$13,"BOOST","RACE"))))</x:f>
        <x:v>RACE</x:v>
      </x:c>
      <x:c r="F124" s="83" t="n">
        <x:f>IF(OR(E124="GRID",E124="FINISHED",E124="PIT"),0,MAX(Control!$B$15,(INDEX(Drivers!$D$8:$D$13,B124)+INDEX(Drivers!$E$8:$E$13,B124)*SIN((A124+INDEX(Drivers!$F$8:$F$13,B124)+Control!$B$16)*Control!$B$14))*INDEX(TrackMap!$M$8:$M$141,MOD(INT(D124)-1,Control!$B$7)+1)*IF(E124="BOOST",Control!$B$12,1)))</x:f>
        <x:v>3.2030904181213327</x:v>
      </x:c>
      <x:c r="G124" s="83" t="n">
        <x:f>IF(A124=0,D124,MIN(Control!$B$17,D124+F124))</x:f>
        <x:v>61.37201686309486</x:v>
      </x:c>
      <x:c r="H124" s="73" t="n">
        <x:f>MOD(INT(G124)-1,Control!$B$7)+1</x:f>
        <x:v>61</x:v>
      </x:c>
      <x:c r="I124" s="73" t="n">
        <x:f>MIN(Control!$B$6,MAX(1,INT(MAX(0,G124)/Control!$B$7)+1))</x:f>
        <x:v>1</x:v>
      </x:c>
      <x:c r="J124" s="73" t="n">
        <x:f>INDEX(Drivers!$H$8:$H$13,B124)</x:f>
        <x:v>1</x:v>
      </x:c>
      <x:c r="K124" s="73" t="n">
        <x:f>IF(J124=1,INDEX(TrackMap!$I$8:$I$141,H124),INDEX(TrackMap!$L$8:$L$141,H124))</x:f>
        <x:v>1634</x:v>
      </x:c>
      <x:c r="L124" s="73" t="str">
        <x:f>INDEX(TrackMap!$F$8:$F$141,H124)</x:f>
        <x:v>→</x:v>
      </x:c>
      <x:c r="M124" s="87" t="n">
        <x:f>MAX(0,G124/Control!$B$17)</x:f>
        <x:v>0.09160002516879831</x:v>
      </x:c>
      <x:c r="N124" s="73" t="n">
        <x:f>IF(N118&gt;0,N118,IF(G124&gt;=Control!$B$17,A124,0))</x:f>
        <x:v>0</x:v>
      </x:c>
      <x:c r="O124" s="91" t="n">
        <x:f>IF(N124&gt;0,Control!$B$17+Control!$B$8+1-N124,G124)-B124/100000</x:f>
        <x:v>61.37198686309486</x:v>
      </x:c>
      <x:c r="P124" s="73" t="n">
        <x:f>COUNTIF($O$122:$O$127,"&gt;"&amp;O124)+1</x:f>
        <x:v>2</x:v>
      </x:c>
      <x:c r="Q124" s="83" t="n">
        <x:f>MAX($G$122:$G$127)-G124</x:f>
        <x:v>1.0148725471444777</x:v>
      </x:c>
      <x:c r="R124" s="73" t="str">
        <x:f>INDEX(TrackMap!$B$8:$B$141,H124)</x:f>
        <x:v>中央高速直道</x:v>
      </x:c>
    </x:row>
    <x:row r="125" ht="20" customHeight="1">
      <x:c r="A125" s="73" t="n">
        <x:v>19</x:v>
      </x:c>
      <x:c r="B125" s="73" t="n">
        <x:v>4</x:v>
      </x:c>
      <x:c r="C125" s="73" t="str">
        <x:f>INDEX(Drivers!$B$8:$B$13,B125)</x:f>
        <x:v>紫影</x:v>
      </x:c>
      <x:c r="D125" s="83" t="n">
        <x:f>G119</x:f>
        <x:v>58.26222049927628</x:v>
      </x:c>
      <x:c r="E125" s="83" t="str">
        <x:f>IF(A125=0,"GRID",IF(D125&gt;=Control!$B$17,"FINISHED",IF(AND(A125&gt;=INDEX(Drivers!$G$8:$G$13,B125),A125&lt;INDEX(Drivers!$G$8:$G$13,B125)+INDEX(Drivers!$J$8:$J$13,B125)),"PIT",IF(MOD(A125+INDEX(Drivers!$F$8:$F$13,B125),Control!$B$11)&lt;Control!$B$13,"BOOST","RACE"))))</x:f>
        <x:v>RACE</x:v>
      </x:c>
      <x:c r="F125" s="83" t="n">
        <x:f>IF(OR(E125="GRID",E125="FINISHED",E125="PIT"),0,MAX(Control!$B$15,(INDEX(Drivers!$D$8:$D$13,B125)+INDEX(Drivers!$E$8:$E$13,B125)*SIN((A125+INDEX(Drivers!$F$8:$F$13,B125)+Control!$B$16)*Control!$B$14))*INDEX(TrackMap!$M$8:$M$141,MOD(INT(D125)-1,Control!$B$7)+1)*IF(E125="BOOST",Control!$B$12,1)))</x:f>
        <x:v>4.124668910963062</x:v>
      </x:c>
      <x:c r="G125" s="83" t="n">
        <x:f>IF(A125=0,D125,MIN(Control!$B$17,D125+F125))</x:f>
        <x:v>62.38688941023934</x:v>
      </x:c>
      <x:c r="H125" s="73" t="n">
        <x:f>MOD(INT(G125)-1,Control!$B$7)+1</x:f>
        <x:v>62</x:v>
      </x:c>
      <x:c r="I125" s="73" t="n">
        <x:f>MIN(Control!$B$6,MAX(1,INT(MAX(0,G125)/Control!$B$7)+1))</x:f>
        <x:v>1</x:v>
      </x:c>
      <x:c r="J125" s="73" t="n">
        <x:f>INDEX(Drivers!$H$8:$H$13,B125)</x:f>
        <x:v>2</x:v>
      </x:c>
      <x:c r="K125" s="73" t="n">
        <x:f>IF(J125=1,INDEX(TrackMap!$I$8:$I$141,H125),INDEX(TrackMap!$L$8:$L$141,H125))</x:f>
        <x:v>1535</x:v>
      </x:c>
      <x:c r="L125" s="73" t="str">
        <x:f>INDEX(TrackMap!$F$8:$F$141,H125)</x:f>
        <x:v>→</x:v>
      </x:c>
      <x:c r="M125" s="87" t="n">
        <x:f>MAX(0,G125/Control!$B$17)</x:f>
        <x:v>0.09311476031379007</x:v>
      </x:c>
      <x:c r="N125" s="73" t="n">
        <x:f>IF(N119&gt;0,N119,IF(G125&gt;=Control!$B$17,A125,0))</x:f>
        <x:v>0</x:v>
      </x:c>
      <x:c r="O125" s="91" t="n">
        <x:f>IF(N125&gt;0,Control!$B$17+Control!$B$8+1-N125,G125)-B125/100000</x:f>
        <x:v>62.38684941023934</x:v>
      </x:c>
      <x:c r="P125" s="73" t="n">
        <x:f>COUNTIF($O$122:$O$127,"&gt;"&amp;O125)+1</x:f>
        <x:v>1</x:v>
      </x:c>
      <x:c r="Q125" s="83" t="n">
        <x:f>MAX($G$122:$G$127)-G125</x:f>
        <x:v>0</x:v>
      </x:c>
      <x:c r="R125" s="73" t="str">
        <x:f>INDEX(TrackMap!$B$8:$B$141,H125)</x:f>
        <x:v>中央高速直道</x:v>
      </x:c>
    </x:row>
    <x:row r="126" ht="20" customHeight="1">
      <x:c r="A126" s="73" t="n">
        <x:v>19</x:v>
      </x:c>
      <x:c r="B126" s="73" t="n">
        <x:v>5</x:v>
      </x:c>
      <x:c r="C126" s="73" t="str">
        <x:f>INDEX(Drivers!$B$8:$B$13,B126)</x:f>
        <x:v>青锋</x:v>
      </x:c>
      <x:c r="D126" s="83" t="n">
        <x:f>G120</x:f>
        <x:v>50.645067750729886</x:v>
      </x:c>
      <x:c r="E126" s="83" t="str">
        <x:f>IF(A126=0,"GRID",IF(D126&gt;=Control!$B$17,"FINISHED",IF(AND(A126&gt;=INDEX(Drivers!$G$8:$G$13,B126),A126&lt;INDEX(Drivers!$G$8:$G$13,B126)+INDEX(Drivers!$J$8:$J$13,B126)),"PIT",IF(MOD(A126+INDEX(Drivers!$F$8:$F$13,B126),Control!$B$11)&lt;Control!$B$13,"BOOST","RACE"))))</x:f>
        <x:v>RACE</x:v>
      </x:c>
      <x:c r="F126" s="83" t="n">
        <x:f>IF(OR(E126="GRID",E126="FINISHED",E126="PIT"),0,MAX(Control!$B$15,(INDEX(Drivers!$D$8:$D$13,B126)+INDEX(Drivers!$E$8:$E$13,B126)*SIN((A126+INDEX(Drivers!$F$8:$F$13,B126)+Control!$B$16)*Control!$B$14))*INDEX(TrackMap!$M$8:$M$141,MOD(INT(D126)-1,Control!$B$7)+1)*IF(E126="BOOST",Control!$B$12,1)))</x:f>
        <x:v>4.098871400434524</x:v>
      </x:c>
      <x:c r="G126" s="83" t="n">
        <x:f>IF(A126=0,D126,MIN(Control!$B$17,D126+F126))</x:f>
        <x:v>54.74393915116441</x:v>
      </x:c>
      <x:c r="H126" s="73" t="n">
        <x:f>MOD(INT(G126)-1,Control!$B$7)+1</x:f>
        <x:v>54</x:v>
      </x:c>
      <x:c r="I126" s="73" t="n">
        <x:f>MIN(Control!$B$6,MAX(1,INT(MAX(0,G126)/Control!$B$7)+1))</x:f>
        <x:v>1</x:v>
      </x:c>
      <x:c r="J126" s="73" t="n">
        <x:f>INDEX(Drivers!$H$8:$H$13,B126)</x:f>
        <x:v>1</x:v>
      </x:c>
      <x:c r="K126" s="73" t="n">
        <x:f>IF(J126=1,INDEX(TrackMap!$I$8:$I$141,H126),INDEX(TrackMap!$L$8:$L$141,H126))</x:f>
        <x:v>1627</x:v>
      </x:c>
      <x:c r="L126" s="73" t="str">
        <x:f>INDEX(TrackMap!$F$8:$F$141,H126)</x:f>
        <x:v>→</x:v>
      </x:c>
      <x:c r="M126" s="87" t="n">
        <x:f>MAX(0,G126/Control!$B$17)</x:f>
        <x:v>0.08170737186740958</x:v>
      </x:c>
      <x:c r="N126" s="73" t="n">
        <x:f>IF(N120&gt;0,N120,IF(G126&gt;=Control!$B$17,A126,0))</x:f>
        <x:v>0</x:v>
      </x:c>
      <x:c r="O126" s="91" t="n">
        <x:f>IF(N126&gt;0,Control!$B$17+Control!$B$8+1-N126,G126)-B126/100000</x:f>
        <x:v>54.74388915116441</x:v>
      </x:c>
      <x:c r="P126" s="73" t="n">
        <x:f>COUNTIF($O$122:$O$127,"&gt;"&amp;O126)+1</x:f>
        <x:v>6</x:v>
      </x:c>
      <x:c r="Q126" s="83" t="n">
        <x:f>MAX($G$122:$G$127)-G126</x:f>
        <x:v>7.642950259074929</x:v>
      </x:c>
      <x:c r="R126" s="73" t="str">
        <x:f>INDEX(TrackMap!$B$8:$B$141,H126)</x:f>
        <x:v>中央高速直道</x:v>
      </x:c>
    </x:row>
    <x:row r="127" ht="20" customHeight="1">
      <x:c r="A127" s="73" t="n">
        <x:v>19</x:v>
      </x:c>
      <x:c r="B127" s="73" t="n">
        <x:v>6</x:v>
      </x:c>
      <x:c r="C127" s="73" t="str">
        <x:f>INDEX(Drivers!$B$8:$B$13,B127)</x:f>
        <x:v>玫速</x:v>
      </x:c>
      <x:c r="D127" s="83" t="n">
        <x:f>G121</x:f>
        <x:v>51.758673993947966</x:v>
      </x:c>
      <x:c r="E127" s="83" t="str">
        <x:f>IF(A127=0,"GRID",IF(D127&gt;=Control!$B$17,"FINISHED",IF(AND(A127&gt;=INDEX(Drivers!$G$8:$G$13,B127),A127&lt;INDEX(Drivers!$G$8:$G$13,B127)+INDEX(Drivers!$J$8:$J$13,B127)),"PIT",IF(MOD(A127+INDEX(Drivers!$F$8:$F$13,B127),Control!$B$11)&lt;Control!$B$13,"BOOST","RACE"))))</x:f>
        <x:v>BOOST</x:v>
      </x:c>
      <x:c r="F127" s="83" t="n">
        <x:f>IF(OR(E127="GRID",E127="FINISHED",E127="PIT"),0,MAX(Control!$B$15,(INDEX(Drivers!$D$8:$D$13,B127)+INDEX(Drivers!$E$8:$E$13,B127)*SIN((A127+INDEX(Drivers!$F$8:$F$13,B127)+Control!$B$16)*Control!$B$14))*INDEX(TrackMap!$M$8:$M$141,MOD(INT(D127)-1,Control!$B$7)+1)*IF(E127="BOOST",Control!$B$12,1)))</x:f>
        <x:v>4.5295100194686215</x:v>
      </x:c>
      <x:c r="G127" s="83" t="n">
        <x:f>IF(A127=0,D127,MIN(Control!$B$17,D127+F127))</x:f>
        <x:v>56.28818401341659</x:v>
      </x:c>
      <x:c r="H127" s="73" t="n">
        <x:f>MOD(INT(G127)-1,Control!$B$7)+1</x:f>
        <x:v>56</x:v>
      </x:c>
      <x:c r="I127" s="73" t="n">
        <x:f>MIN(Control!$B$6,MAX(1,INT(MAX(0,G127)/Control!$B$7)+1))</x:f>
        <x:v>1</x:v>
      </x:c>
      <x:c r="J127" s="73" t="n">
        <x:f>INDEX(Drivers!$H$8:$H$13,B127)</x:f>
        <x:v>2</x:v>
      </x:c>
      <x:c r="K127" s="73" t="n">
        <x:f>IF(J127=1,INDEX(TrackMap!$I$8:$I$141,H127),INDEX(TrackMap!$L$8:$L$141,H127))</x:f>
        <x:v>1529</x:v>
      </x:c>
      <x:c r="L127" s="73" t="str">
        <x:f>INDEX(TrackMap!$F$8:$F$141,H127)</x:f>
        <x:v>→</x:v>
      </x:c>
      <x:c r="M127" s="87" t="n">
        <x:f>MAX(0,G127/Control!$B$17)</x:f>
        <x:v>0.0840122149453979</x:v>
      </x:c>
      <x:c r="N127" s="73" t="n">
        <x:f>IF(N121&gt;0,N121,IF(G127&gt;=Control!$B$17,A127,0))</x:f>
        <x:v>0</x:v>
      </x:c>
      <x:c r="O127" s="91" t="n">
        <x:f>IF(N127&gt;0,Control!$B$17+Control!$B$8+1-N127,G127)-B127/100000</x:f>
        <x:v>56.28812401341659</x:v>
      </x:c>
      <x:c r="P127" s="73" t="n">
        <x:f>COUNTIF($O$122:$O$127,"&gt;"&amp;O127)+1</x:f>
        <x:v>5</x:v>
      </x:c>
      <x:c r="Q127" s="83" t="n">
        <x:f>MAX($G$122:$G$127)-G127</x:f>
        <x:v>6.098705396822751</x:v>
      </x:c>
      <x:c r="R127" s="73" t="str">
        <x:f>INDEX(TrackMap!$B$8:$B$141,H127)</x:f>
        <x:v>中央高速直道</x:v>
      </x:c>
    </x:row>
    <x:row r="128" ht="20" customHeight="1">
      <x:c r="A128" s="73" t="n">
        <x:v>20</x:v>
      </x:c>
      <x:c r="B128" s="73" t="n">
        <x:v>1</x:v>
      </x:c>
      <x:c r="C128" s="73" t="str">
        <x:f>INDEX(Drivers!$B$8:$B$13,B128)</x:f>
        <x:v>赤焰</x:v>
      </x:c>
      <x:c r="D128" s="83" t="n">
        <x:f>G122</x:f>
        <x:v>60.68658746513942</x:v>
      </x:c>
      <x:c r="E128" s="83" t="str">
        <x:f>IF(A128=0,"GRID",IF(D128&gt;=Control!$B$17,"FINISHED",IF(AND(A128&gt;=INDEX(Drivers!$G$8:$G$13,B128),A128&lt;INDEX(Drivers!$G$8:$G$13,B128)+INDEX(Drivers!$J$8:$J$13,B128)),"PIT",IF(MOD(A128+INDEX(Drivers!$F$8:$F$13,B128),Control!$B$11)&lt;Control!$B$13,"BOOST","RACE"))))</x:f>
        <x:v>RACE</x:v>
      </x:c>
      <x:c r="F128" s="83" t="n">
        <x:f>IF(OR(E128="GRID",E128="FINISHED",E128="PIT"),0,MAX(Control!$B$15,(INDEX(Drivers!$D$8:$D$13,B128)+INDEX(Drivers!$E$8:$E$13,B128)*SIN((A128+INDEX(Drivers!$F$8:$F$13,B128)+Control!$B$16)*Control!$B$14))*INDEX(TrackMap!$M$8:$M$141,MOD(INT(D128)-1,Control!$B$7)+1)*IF(E128="BOOST",Control!$B$12,1)))</x:f>
        <x:v>3.6574959300232406</x:v>
      </x:c>
      <x:c r="G128" s="83" t="n">
        <x:f>IF(A128=0,D128,MIN(Control!$B$17,D128+F128))</x:f>
        <x:v>64.34408339516266</x:v>
      </x:c>
      <x:c r="H128" s="73" t="n">
        <x:f>MOD(INT(G128)-1,Control!$B$7)+1</x:f>
        <x:v>64</x:v>
      </x:c>
      <x:c r="I128" s="73" t="n">
        <x:f>MIN(Control!$B$6,MAX(1,INT(MAX(0,G128)/Control!$B$7)+1))</x:f>
        <x:v>1</x:v>
      </x:c>
      <x:c r="J128" s="73" t="n">
        <x:f>INDEX(Drivers!$H$8:$H$13,B128)</x:f>
        <x:v>1</x:v>
      </x:c>
      <x:c r="K128" s="73" t="n">
        <x:f>IF(J128=1,INDEX(TrackMap!$I$8:$I$141,H128),INDEX(TrackMap!$L$8:$L$141,H128))</x:f>
        <x:v>1637</x:v>
      </x:c>
      <x:c r="L128" s="73" t="str">
        <x:f>INDEX(TrackMap!$F$8:$F$141,H128)</x:f>
        <x:v>→</x:v>
      </x:c>
      <x:c r="M128" s="87" t="n">
        <x:f>MAX(0,G128/Control!$B$17)</x:f>
        <x:v>0.09603594536591441</x:v>
      </x:c>
      <x:c r="N128" s="73" t="n">
        <x:f>IF(N122&gt;0,N122,IF(G128&gt;=Control!$B$17,A128,0))</x:f>
        <x:v>0</x:v>
      </x:c>
      <x:c r="O128" s="91" t="n">
        <x:f>IF(N128&gt;0,Control!$B$17+Control!$B$8+1-N128,G128)-B128/100000</x:f>
        <x:v>64.34407339516265</x:v>
      </x:c>
      <x:c r="P128" s="73" t="n">
        <x:f>COUNTIF($O$128:$O$133,"&gt;"&amp;O128)+1</x:f>
        <x:v>3</x:v>
      </x:c>
      <x:c r="Q128" s="83" t="n">
        <x:f>MAX($G$128:$G$133)-G128</x:f>
        <x:v>2.2213712697233063</x:v>
      </x:c>
      <x:c r="R128" s="73" t="str">
        <x:f>INDEX(TrackMap!$B$8:$B$141,H128)</x:f>
        <x:v>中央高速直道</x:v>
      </x:c>
    </x:row>
    <x:row r="129" ht="20" customHeight="1">
      <x:c r="A129" s="73" t="n">
        <x:v>20</x:v>
      </x:c>
      <x:c r="B129" s="73" t="n">
        <x:v>2</x:v>
      </x:c>
      <x:c r="C129" s="73" t="str">
        <x:f>INDEX(Drivers!$B$8:$B$13,B129)</x:f>
        <x:v>蓝电</x:v>
      </x:c>
      <x:c r="D129" s="83" t="n">
        <x:f>G123</x:f>
        <x:v>60.17683387733739</x:v>
      </x:c>
      <x:c r="E129" s="83" t="str">
        <x:f>IF(A129=0,"GRID",IF(D129&gt;=Control!$B$17,"FINISHED",IF(AND(A129&gt;=INDEX(Drivers!$G$8:$G$13,B129),A129&lt;INDEX(Drivers!$G$8:$G$13,B129)+INDEX(Drivers!$J$8:$J$13,B129)),"PIT",IF(MOD(A129+INDEX(Drivers!$F$8:$F$13,B129),Control!$B$11)&lt;Control!$B$13,"BOOST","RACE"))))</x:f>
        <x:v>RACE</x:v>
      </x:c>
      <x:c r="F129" s="83" t="n">
        <x:f>IF(OR(E129="GRID",E129="FINISHED",E129="PIT"),0,MAX(Control!$B$15,(INDEX(Drivers!$D$8:$D$13,B129)+INDEX(Drivers!$E$8:$E$13,B129)*SIN((A129+INDEX(Drivers!$F$8:$F$13,B129)+Control!$B$16)*Control!$B$14))*INDEX(TrackMap!$M$8:$M$141,MOD(INT(D129)-1,Control!$B$7)+1)*IF(E129="BOOST",Control!$B$12,1)))</x:f>
        <x:v>3.887432802226069</x:v>
      </x:c>
      <x:c r="G129" s="83" t="n">
        <x:f>IF(A129=0,D129,MIN(Control!$B$17,D129+F129))</x:f>
        <x:v>64.06426667956346</x:v>
      </x:c>
      <x:c r="H129" s="73" t="n">
        <x:f>MOD(INT(G129)-1,Control!$B$7)+1</x:f>
        <x:v>64</x:v>
      </x:c>
      <x:c r="I129" s="73" t="n">
        <x:f>MIN(Control!$B$6,MAX(1,INT(MAX(0,G129)/Control!$B$7)+1))</x:f>
        <x:v>1</x:v>
      </x:c>
      <x:c r="J129" s="73" t="n">
        <x:f>INDEX(Drivers!$H$8:$H$13,B129)</x:f>
        <x:v>2</x:v>
      </x:c>
      <x:c r="K129" s="73" t="n">
        <x:f>IF(J129=1,INDEX(TrackMap!$I$8:$I$141,H129),INDEX(TrackMap!$L$8:$L$141,H129))</x:f>
        <x:v>1537</x:v>
      </x:c>
      <x:c r="L129" s="73" t="str">
        <x:f>INDEX(TrackMap!$F$8:$F$141,H129)</x:f>
        <x:v>→</x:v>
      </x:c>
      <x:c r="M129" s="87" t="n">
        <x:f>MAX(0,G129/Control!$B$17)</x:f>
        <x:v>0.09561830847696039</x:v>
      </x:c>
      <x:c r="N129" s="73" t="n">
        <x:f>IF(N123&gt;0,N123,IF(G129&gt;=Control!$B$17,A129,0))</x:f>
        <x:v>0</x:v>
      </x:c>
      <x:c r="O129" s="91" t="n">
        <x:f>IF(N129&gt;0,Control!$B$17+Control!$B$8+1-N129,G129)-B129/100000</x:f>
        <x:v>64.06424667956345</x:v>
      </x:c>
      <x:c r="P129" s="73" t="n">
        <x:f>COUNTIF($O$128:$O$133,"&gt;"&amp;O129)+1</x:f>
        <x:v>4</x:v>
      </x:c>
      <x:c r="Q129" s="83" t="n">
        <x:f>MAX($G$128:$G$133)-G129</x:f>
        <x:v>2.5011879853225025</x:v>
      </x:c>
      <x:c r="R129" s="73" t="str">
        <x:f>INDEX(TrackMap!$B$8:$B$141,H129)</x:f>
        <x:v>中央高速直道</x:v>
      </x:c>
    </x:row>
    <x:row r="130" ht="20" customHeight="1">
      <x:c r="A130" s="73" t="n">
        <x:v>20</x:v>
      </x:c>
      <x:c r="B130" s="73" t="n">
        <x:v>3</x:v>
      </x:c>
      <x:c r="C130" s="73" t="str">
        <x:f>INDEX(Drivers!$B$8:$B$13,B130)</x:f>
        <x:v>金翼</x:v>
      </x:c>
      <x:c r="D130" s="83" t="n">
        <x:f>G124</x:f>
        <x:v>61.37201686309486</x:v>
      </x:c>
      <x:c r="E130" s="83" t="str">
        <x:f>IF(A130=0,"GRID",IF(D130&gt;=Control!$B$17,"FINISHED",IF(AND(A130&gt;=INDEX(Drivers!$G$8:$G$13,B130),A130&lt;INDEX(Drivers!$G$8:$G$13,B130)+INDEX(Drivers!$J$8:$J$13,B130)),"PIT",IF(MOD(A130+INDEX(Drivers!$F$8:$F$13,B130),Control!$B$11)&lt;Control!$B$13,"BOOST","RACE"))))</x:f>
        <x:v>RACE</x:v>
      </x:c>
      <x:c r="F130" s="83" t="n">
        <x:f>IF(OR(E130="GRID",E130="FINISHED",E130="PIT"),0,MAX(Control!$B$15,(INDEX(Drivers!$D$8:$D$13,B130)+INDEX(Drivers!$E$8:$E$13,B130)*SIN((A130+INDEX(Drivers!$F$8:$F$13,B130)+Control!$B$16)*Control!$B$14))*INDEX(TrackMap!$M$8:$M$141,MOD(INT(D130)-1,Control!$B$7)+1)*IF(E130="BOOST",Control!$B$12,1)))</x:f>
        <x:v>3.25678927637888</x:v>
      </x:c>
      <x:c r="G130" s="83" t="n">
        <x:f>IF(A130=0,D130,MIN(Control!$B$17,D130+F130))</x:f>
        <x:v>64.62880613947374</x:v>
      </x:c>
      <x:c r="H130" s="73" t="n">
        <x:f>MOD(INT(G130)-1,Control!$B$7)+1</x:f>
        <x:v>64</x:v>
      </x:c>
      <x:c r="I130" s="73" t="n">
        <x:f>MIN(Control!$B$6,MAX(1,INT(MAX(0,G130)/Control!$B$7)+1))</x:f>
        <x:v>1</x:v>
      </x:c>
      <x:c r="J130" s="73" t="n">
        <x:f>INDEX(Drivers!$H$8:$H$13,B130)</x:f>
        <x:v>1</x:v>
      </x:c>
      <x:c r="K130" s="73" t="n">
        <x:f>IF(J130=1,INDEX(TrackMap!$I$8:$I$141,H130),INDEX(TrackMap!$L$8:$L$141,H130))</x:f>
        <x:v>1637</x:v>
      </x:c>
      <x:c r="L130" s="73" t="str">
        <x:f>INDEX(TrackMap!$F$8:$F$141,H130)</x:f>
        <x:v>→</x:v>
      </x:c>
      <x:c r="M130" s="87" t="n">
        <x:f>MAX(0,G130/Control!$B$17)</x:f>
        <x:v>0.0964609046857817</x:v>
      </x:c>
      <x:c r="N130" s="73" t="n">
        <x:f>IF(N124&gt;0,N124,IF(G130&gt;=Control!$B$17,A130,0))</x:f>
        <x:v>0</x:v>
      </x:c>
      <x:c r="O130" s="91" t="n">
        <x:f>IF(N130&gt;0,Control!$B$17+Control!$B$8+1-N130,G130)-B130/100000</x:f>
        <x:v>64.62877613947374</x:v>
      </x:c>
      <x:c r="P130" s="73" t="n">
        <x:f>COUNTIF($O$128:$O$133,"&gt;"&amp;O130)+1</x:f>
        <x:v>2</x:v>
      </x:c>
      <x:c r="Q130" s="83" t="n">
        <x:f>MAX($G$128:$G$133)-G130</x:f>
        <x:v>1.9366485254122239</x:v>
      </x:c>
      <x:c r="R130" s="73" t="str">
        <x:f>INDEX(TrackMap!$B$8:$B$141,H130)</x:f>
        <x:v>中央高速直道</x:v>
      </x:c>
    </x:row>
    <x:row r="131" ht="20" customHeight="1">
      <x:c r="A131" s="73" t="n">
        <x:v>20</x:v>
      </x:c>
      <x:c r="B131" s="73" t="n">
        <x:v>4</x:v>
      </x:c>
      <x:c r="C131" s="73" t="str">
        <x:f>INDEX(Drivers!$B$8:$B$13,B131)</x:f>
        <x:v>紫影</x:v>
      </x:c>
      <x:c r="D131" s="83" t="n">
        <x:f>G125</x:f>
        <x:v>62.38688941023934</x:v>
      </x:c>
      <x:c r="E131" s="83" t="str">
        <x:f>IF(A131=0,"GRID",IF(D131&gt;=Control!$B$17,"FINISHED",IF(AND(A131&gt;=INDEX(Drivers!$G$8:$G$13,B131),A131&lt;INDEX(Drivers!$G$8:$G$13,B131)+INDEX(Drivers!$J$8:$J$13,B131)),"PIT",IF(MOD(A131+INDEX(Drivers!$F$8:$F$13,B131),Control!$B$11)&lt;Control!$B$13,"BOOST","RACE"))))</x:f>
        <x:v>RACE</x:v>
      </x:c>
      <x:c r="F131" s="83" t="n">
        <x:f>IF(OR(E131="GRID",E131="FINISHED",E131="PIT"),0,MAX(Control!$B$15,(INDEX(Drivers!$D$8:$D$13,B131)+INDEX(Drivers!$E$8:$E$13,B131)*SIN((A131+INDEX(Drivers!$F$8:$F$13,B131)+Control!$B$16)*Control!$B$14))*INDEX(TrackMap!$M$8:$M$141,MOD(INT(D131)-1,Control!$B$7)+1)*IF(E131="BOOST",Control!$B$12,1)))</x:f>
        <x:v>4.178565254646616</x:v>
      </x:c>
      <x:c r="G131" s="83" t="n">
        <x:f>IF(A131=0,D131,MIN(Control!$B$17,D131+F131))</x:f>
        <x:v>66.56545466488596</x:v>
      </x:c>
      <x:c r="H131" s="73" t="n">
        <x:f>MOD(INT(G131)-1,Control!$B$7)+1</x:f>
        <x:v>66</x:v>
      </x:c>
      <x:c r="I131" s="73" t="n">
        <x:f>MIN(Control!$B$6,MAX(1,INT(MAX(0,G131)/Control!$B$7)+1))</x:f>
        <x:v>1</x:v>
      </x:c>
      <x:c r="J131" s="73" t="n">
        <x:f>INDEX(Drivers!$H$8:$H$13,B131)</x:f>
        <x:v>2</x:v>
      </x:c>
      <x:c r="K131" s="73" t="n">
        <x:f>IF(J131=1,INDEX(TrackMap!$I$8:$I$141,H131),INDEX(TrackMap!$L$8:$L$141,H131))</x:f>
        <x:v>1539</x:v>
      </x:c>
      <x:c r="L131" s="73" t="str">
        <x:f>INDEX(TrackMap!$F$8:$F$141,H131)</x:f>
        <x:v>→</x:v>
      </x:c>
      <x:c r="M131" s="87" t="n">
        <x:f>MAX(0,G131/Control!$B$17)</x:f>
        <x:v>0.09935142487296413</x:v>
      </x:c>
      <x:c r="N131" s="73" t="n">
        <x:f>IF(N125&gt;0,N125,IF(G131&gt;=Control!$B$17,A131,0))</x:f>
        <x:v>0</x:v>
      </x:c>
      <x:c r="O131" s="91" t="n">
        <x:f>IF(N131&gt;0,Control!$B$17+Control!$B$8+1-N131,G131)-B131/100000</x:f>
        <x:v>66.56541466488596</x:v>
      </x:c>
      <x:c r="P131" s="73" t="n">
        <x:f>COUNTIF($O$128:$O$133,"&gt;"&amp;O131)+1</x:f>
        <x:v>1</x:v>
      </x:c>
      <x:c r="Q131" s="83" t="n">
        <x:f>MAX($G$128:$G$133)-G131</x:f>
        <x:v>0</x:v>
      </x:c>
      <x:c r="R131" s="73" t="str">
        <x:f>INDEX(TrackMap!$B$8:$B$141,H131)</x:f>
        <x:v>中央高速直道</x:v>
      </x:c>
    </x:row>
    <x:row r="132" ht="20" customHeight="1">
      <x:c r="A132" s="73" t="n">
        <x:v>20</x:v>
      </x:c>
      <x:c r="B132" s="73" t="n">
        <x:v>5</x:v>
      </x:c>
      <x:c r="C132" s="73" t="str">
        <x:f>INDEX(Drivers!$B$8:$B$13,B132)</x:f>
        <x:v>青锋</x:v>
      </x:c>
      <x:c r="D132" s="83" t="n">
        <x:f>G126</x:f>
        <x:v>54.74393915116441</x:v>
      </x:c>
      <x:c r="E132" s="83" t="str">
        <x:f>IF(A132=0,"GRID",IF(D132&gt;=Control!$B$17,"FINISHED",IF(AND(A132&gt;=INDEX(Drivers!$G$8:$G$13,B132),A132&lt;INDEX(Drivers!$G$8:$G$13,B132)+INDEX(Drivers!$J$8:$J$13,B132)),"PIT",IF(MOD(A132+INDEX(Drivers!$F$8:$F$13,B132),Control!$B$11)&lt;Control!$B$13,"BOOST","RACE"))))</x:f>
        <x:v>RACE</x:v>
      </x:c>
      <x:c r="F132" s="83" t="n">
        <x:f>IF(OR(E132="GRID",E132="FINISHED",E132="PIT"),0,MAX(Control!$B$15,(INDEX(Drivers!$D$8:$D$13,B132)+INDEX(Drivers!$E$8:$E$13,B132)*SIN((A132+INDEX(Drivers!$F$8:$F$13,B132)+Control!$B$16)*Control!$B$14))*INDEX(TrackMap!$M$8:$M$141,MOD(INT(D132)-1,Control!$B$7)+1)*IF(E132="BOOST",Control!$B$12,1)))</x:f>
        <x:v>4.1484525365536395</x:v>
      </x:c>
      <x:c r="G132" s="83" t="n">
        <x:f>IF(A132=0,D132,MIN(Control!$B$17,D132+F132))</x:f>
        <x:v>58.89239168771805</x:v>
      </x:c>
      <x:c r="H132" s="73" t="n">
        <x:f>MOD(INT(G132)-1,Control!$B$7)+1</x:f>
        <x:v>58</x:v>
      </x:c>
      <x:c r="I132" s="73" t="n">
        <x:f>MIN(Control!$B$6,MAX(1,INT(MAX(0,G132)/Control!$B$7)+1))</x:f>
        <x:v>1</x:v>
      </x:c>
      <x:c r="J132" s="73" t="n">
        <x:f>INDEX(Drivers!$H$8:$H$13,B132)</x:f>
        <x:v>1</x:v>
      </x:c>
      <x:c r="K132" s="73" t="n">
        <x:f>IF(J132=1,INDEX(TrackMap!$I$8:$I$141,H132),INDEX(TrackMap!$L$8:$L$141,H132))</x:f>
        <x:v>1631</x:v>
      </x:c>
      <x:c r="L132" s="73" t="str">
        <x:f>INDEX(TrackMap!$F$8:$F$141,H132)</x:f>
        <x:v>→</x:v>
      </x:c>
      <x:c r="M132" s="87" t="n">
        <x:f>MAX(0,G132/Control!$B$17)</x:f>
        <x:v>0.08789909207122097</x:v>
      </x:c>
      <x:c r="N132" s="73" t="n">
        <x:f>IF(N126&gt;0,N126,IF(G132&gt;=Control!$B$17,A132,0))</x:f>
        <x:v>0</x:v>
      </x:c>
      <x:c r="O132" s="91" t="n">
        <x:f>IF(N132&gt;0,Control!$B$17+Control!$B$8+1-N132,G132)-B132/100000</x:f>
        <x:v>58.89234168771805</x:v>
      </x:c>
      <x:c r="P132" s="73" t="n">
        <x:f>COUNTIF($O$128:$O$133,"&gt;"&amp;O132)+1</x:f>
        <x:v>6</x:v>
      </x:c>
      <x:c r="Q132" s="83" t="n">
        <x:f>MAX($G$128:$G$133)-G132</x:f>
        <x:v>7.673062977167909</x:v>
      </x:c>
      <x:c r="R132" s="73" t="str">
        <x:f>INDEX(TrackMap!$B$8:$B$141,H132)</x:f>
        <x:v>中央高速直道</x:v>
      </x:c>
    </x:row>
    <x:row r="133" ht="20" customHeight="1">
      <x:c r="A133" s="73" t="n">
        <x:v>20</x:v>
      </x:c>
      <x:c r="B133" s="73" t="n">
        <x:v>6</x:v>
      </x:c>
      <x:c r="C133" s="73" t="str">
        <x:f>INDEX(Drivers!$B$8:$B$13,B133)</x:f>
        <x:v>玫速</x:v>
      </x:c>
      <x:c r="D133" s="83" t="n">
        <x:f>G127</x:f>
        <x:v>56.28818401341659</x:v>
      </x:c>
      <x:c r="E133" s="83" t="str">
        <x:f>IF(A133=0,"GRID",IF(D133&gt;=Control!$B$17,"FINISHED",IF(AND(A133&gt;=INDEX(Drivers!$G$8:$G$13,B133),A133&lt;INDEX(Drivers!$G$8:$G$13,B133)+INDEX(Drivers!$J$8:$J$13,B133)),"PIT",IF(MOD(A133+INDEX(Drivers!$F$8:$F$13,B133),Control!$B$11)&lt;Control!$B$13,"BOOST","RACE"))))</x:f>
        <x:v>BOOST</x:v>
      </x:c>
      <x:c r="F133" s="83" t="n">
        <x:f>IF(OR(E133="GRID",E133="FINISHED",E133="PIT"),0,MAX(Control!$B$15,(INDEX(Drivers!$D$8:$D$13,B133)+INDEX(Drivers!$E$8:$E$13,B133)*SIN((A133+INDEX(Drivers!$F$8:$F$13,B133)+Control!$B$16)*Control!$B$14))*INDEX(TrackMap!$M$8:$M$141,MOD(INT(D133)-1,Control!$B$7)+1)*IF(E133="BOOST",Control!$B$12,1)))</x:f>
        <x:v>4.312906291543146</x:v>
      </x:c>
      <x:c r="G133" s="83" t="n">
        <x:f>IF(A133=0,D133,MIN(Control!$B$17,D133+F133))</x:f>
        <x:v>60.60109030495973</x:v>
      </x:c>
      <x:c r="H133" s="73" t="n">
        <x:f>MOD(INT(G133)-1,Control!$B$7)+1</x:f>
        <x:v>60</x:v>
      </x:c>
      <x:c r="I133" s="73" t="n">
        <x:f>MIN(Control!$B$6,MAX(1,INT(MAX(0,G133)/Control!$B$7)+1))</x:f>
        <x:v>1</x:v>
      </x:c>
      <x:c r="J133" s="73" t="n">
        <x:f>INDEX(Drivers!$H$8:$H$13,B133)</x:f>
        <x:v>2</x:v>
      </x:c>
      <x:c r="K133" s="73" t="n">
        <x:f>IF(J133=1,INDEX(TrackMap!$I$8:$I$141,H133),INDEX(TrackMap!$L$8:$L$141,H133))</x:f>
        <x:v>1533</x:v>
      </x:c>
      <x:c r="L133" s="73" t="str">
        <x:f>INDEX(TrackMap!$F$8:$F$141,H133)</x:f>
        <x:v>→</x:v>
      </x:c>
      <x:c r="M133" s="87" t="n">
        <x:f>MAX(0,G133/Control!$B$17)</x:f>
        <x:v>0.09044938851486527</x:v>
      </x:c>
      <x:c r="N133" s="73" t="n">
        <x:f>IF(N127&gt;0,N127,IF(G133&gt;=Control!$B$17,A133,0))</x:f>
        <x:v>0</x:v>
      </x:c>
      <x:c r="O133" s="91" t="n">
        <x:f>IF(N133&gt;0,Control!$B$17+Control!$B$8+1-N133,G133)-B133/100000</x:f>
        <x:v>60.601030304959735</x:v>
      </x:c>
      <x:c r="P133" s="73" t="n">
        <x:f>COUNTIF($O$128:$O$133,"&gt;"&amp;O133)+1</x:f>
        <x:v>5</x:v>
      </x:c>
      <x:c r="Q133" s="83" t="n">
        <x:f>MAX($G$128:$G$133)-G133</x:f>
        <x:v>5.964364359926229</x:v>
      </x:c>
      <x:c r="R133" s="73" t="str">
        <x:f>INDEX(TrackMap!$B$8:$B$141,H133)</x:f>
        <x:v>中央高速直道</x:v>
      </x:c>
    </x:row>
    <x:row r="134" ht="20" customHeight="1">
      <x:c r="A134" s="73" t="n">
        <x:v>21</x:v>
      </x:c>
      <x:c r="B134" s="73" t="n">
        <x:v>1</x:v>
      </x:c>
      <x:c r="C134" s="73" t="str">
        <x:f>INDEX(Drivers!$B$8:$B$13,B134)</x:f>
        <x:v>赤焰</x:v>
      </x:c>
      <x:c r="D134" s="83" t="n">
        <x:f>G128</x:f>
        <x:v>64.34408339516266</x:v>
      </x:c>
      <x:c r="E134" s="83" t="str">
        <x:f>IF(A134=0,"GRID",IF(D134&gt;=Control!$B$17,"FINISHED",IF(AND(A134&gt;=INDEX(Drivers!$G$8:$G$13,B134),A134&lt;INDEX(Drivers!$G$8:$G$13,B134)+INDEX(Drivers!$J$8:$J$13,B134)),"PIT",IF(MOD(A134+INDEX(Drivers!$F$8:$F$13,B134),Control!$B$11)&lt;Control!$B$13,"BOOST","RACE"))))</x:f>
        <x:v>RACE</x:v>
      </x:c>
      <x:c r="F134" s="83" t="n">
        <x:f>IF(OR(E134="GRID",E134="FINISHED",E134="PIT"),0,MAX(Control!$B$15,(INDEX(Drivers!$D$8:$D$13,B134)+INDEX(Drivers!$E$8:$E$13,B134)*SIN((A134+INDEX(Drivers!$F$8:$F$13,B134)+Control!$B$16)*Control!$B$14))*INDEX(TrackMap!$M$8:$M$141,MOD(INT(D134)-1,Control!$B$7)+1)*IF(E134="BOOST",Control!$B$12,1)))</x:f>
        <x:v>3.855858675630166</x:v>
      </x:c>
      <x:c r="G134" s="83" t="n">
        <x:f>IF(A134=0,D134,MIN(Control!$B$17,D134+F134))</x:f>
        <x:v>68.19994207079282</x:v>
      </x:c>
      <x:c r="H134" s="73" t="n">
        <x:f>MOD(INT(G134)-1,Control!$B$7)+1</x:f>
        <x:v>68</x:v>
      </x:c>
      <x:c r="I134" s="73" t="n">
        <x:f>MIN(Control!$B$6,MAX(1,INT(MAX(0,G134)/Control!$B$7)+1))</x:f>
        <x:v>1</x:v>
      </x:c>
      <x:c r="J134" s="73" t="n">
        <x:f>INDEX(Drivers!$H$8:$H$13,B134)</x:f>
        <x:v>1</x:v>
      </x:c>
      <x:c r="K134" s="73" t="n">
        <x:f>IF(J134=1,INDEX(TrackMap!$I$8:$I$141,H134),INDEX(TrackMap!$L$8:$L$141,H134))</x:f>
        <x:v>1641</x:v>
      </x:c>
      <x:c r="L134" s="73" t="str">
        <x:f>INDEX(TrackMap!$F$8:$F$141,H134)</x:f>
        <x:v>→</x:v>
      </x:c>
      <x:c r="M134" s="87" t="n">
        <x:f>MAX(0,G134/Control!$B$17)</x:f>
        <x:v>0.10179095831461614</x:v>
      </x:c>
      <x:c r="N134" s="73" t="n">
        <x:f>IF(N128&gt;0,N128,IF(G134&gt;=Control!$B$17,A134,0))</x:f>
        <x:v>0</x:v>
      </x:c>
      <x:c r="O134" s="91" t="n">
        <x:f>IF(N134&gt;0,Control!$B$17+Control!$B$8+1-N134,G134)-B134/100000</x:f>
        <x:v>68.19993207079281</x:v>
      </x:c>
      <x:c r="P134" s="73" t="n">
        <x:f>COUNTIF($O$134:$O$139,"&gt;"&amp;O134)+1</x:f>
        <x:v>3</x:v>
      </x:c>
      <x:c r="Q134" s="83" t="n">
        <x:f>MAX($G$134:$G$139)-G134</x:f>
        <x:v>2.519668099379203</x:v>
      </x:c>
      <x:c r="R134" s="73" t="str">
        <x:f>INDEX(TrackMap!$B$8:$B$141,H134)</x:f>
        <x:v>中央高速直道</x:v>
      </x:c>
    </x:row>
    <x:row r="135" ht="20" customHeight="1">
      <x:c r="A135" s="73" t="n">
        <x:v>21</x:v>
      </x:c>
      <x:c r="B135" s="73" t="n">
        <x:v>2</x:v>
      </x:c>
      <x:c r="C135" s="73" t="str">
        <x:f>INDEX(Drivers!$B$8:$B$13,B135)</x:f>
        <x:v>蓝电</x:v>
      </x:c>
      <x:c r="D135" s="83" t="n">
        <x:f>G129</x:f>
        <x:v>64.06426667956346</x:v>
      </x:c>
      <x:c r="E135" s="83" t="str">
        <x:f>IF(A135=0,"GRID",IF(D135&gt;=Control!$B$17,"FINISHED",IF(AND(A135&gt;=INDEX(Drivers!$G$8:$G$13,B135),A135&lt;INDEX(Drivers!$G$8:$G$13,B135)+INDEX(Drivers!$J$8:$J$13,B135)),"PIT",IF(MOD(A135+INDEX(Drivers!$F$8:$F$13,B135),Control!$B$11)&lt;Control!$B$13,"BOOST","RACE"))))</x:f>
        <x:v>BOOST</x:v>
      </x:c>
      <x:c r="F135" s="83" t="n">
        <x:f>IF(OR(E135="GRID",E135="FINISHED",E135="PIT"),0,MAX(Control!$B$15,(INDEX(Drivers!$D$8:$D$13,B135)+INDEX(Drivers!$E$8:$E$13,B135)*SIN((A135+INDEX(Drivers!$F$8:$F$13,B135)+Control!$B$16)*Control!$B$14))*INDEX(TrackMap!$M$8:$M$141,MOD(INT(D135)-1,Control!$B$7)+1)*IF(E135="BOOST",Control!$B$12,1)))</x:f>
        <x:v>4.968411448245465</x:v>
      </x:c>
      <x:c r="G135" s="83" t="n">
        <x:f>IF(A135=0,D135,MIN(Control!$B$17,D135+F135))</x:f>
        <x:v>69.03267812780892</x:v>
      </x:c>
      <x:c r="H135" s="73" t="n">
        <x:f>MOD(INT(G135)-1,Control!$B$7)+1</x:f>
        <x:v>69</x:v>
      </x:c>
      <x:c r="I135" s="73" t="n">
        <x:f>MIN(Control!$B$6,MAX(1,INT(MAX(0,G135)/Control!$B$7)+1))</x:f>
        <x:v>1</x:v>
      </x:c>
      <x:c r="J135" s="73" t="n">
        <x:f>INDEX(Drivers!$H$8:$H$13,B135)</x:f>
        <x:v>2</x:v>
      </x:c>
      <x:c r="K135" s="73" t="n">
        <x:f>IF(J135=1,INDEX(TrackMap!$I$8:$I$141,H135),INDEX(TrackMap!$L$8:$L$141,H135))</x:f>
        <x:v>1542</x:v>
      </x:c>
      <x:c r="L135" s="73" t="str">
        <x:f>INDEX(TrackMap!$F$8:$F$141,H135)</x:f>
        <x:v>→</x:v>
      </x:c>
      <x:c r="M135" s="87" t="n">
        <x:f>MAX(0,G135/Control!$B$17)</x:f>
        <x:v>0.10303384795195361</x:v>
      </x:c>
      <x:c r="N135" s="73" t="n">
        <x:f>IF(N129&gt;0,N129,IF(G135&gt;=Control!$B$17,A135,0))</x:f>
        <x:v>0</x:v>
      </x:c>
      <x:c r="O135" s="91" t="n">
        <x:f>IF(N135&gt;0,Control!$B$17+Control!$B$8+1-N135,G135)-B135/100000</x:f>
        <x:v>69.03265812780892</x:v>
      </x:c>
      <x:c r="P135" s="73" t="n">
        <x:f>COUNTIF($O$134:$O$139,"&gt;"&amp;O135)+1</x:f>
        <x:v>2</x:v>
      </x:c>
      <x:c r="Q135" s="83" t="n">
        <x:f>MAX($G$134:$G$139)-G135</x:f>
        <x:v>1.6869320423630967</x:v>
      </x:c>
      <x:c r="R135" s="73" t="str">
        <x:f>INDEX(TrackMap!$B$8:$B$141,H135)</x:f>
        <x:v>中央高速直道</x:v>
      </x:c>
    </x:row>
    <x:row r="136" ht="20" customHeight="1">
      <x:c r="A136" s="73" t="n">
        <x:v>21</x:v>
      </x:c>
      <x:c r="B136" s="73" t="n">
        <x:v>3</x:v>
      </x:c>
      <x:c r="C136" s="73" t="str">
        <x:f>INDEX(Drivers!$B$8:$B$13,B136)</x:f>
        <x:v>金翼</x:v>
      </x:c>
      <x:c r="D136" s="83" t="n">
        <x:f>G130</x:f>
        <x:v>64.62880613947374</x:v>
      </x:c>
      <x:c r="E136" s="83" t="str">
        <x:f>IF(A136=0,"GRID",IF(D136&gt;=Control!$B$17,"FINISHED",IF(AND(A136&gt;=INDEX(Drivers!$G$8:$G$13,B136),A136&lt;INDEX(Drivers!$G$8:$G$13,B136)+INDEX(Drivers!$J$8:$J$13,B136)),"PIT",IF(MOD(A136+INDEX(Drivers!$F$8:$F$13,B136),Control!$B$11)&lt;Control!$B$13,"BOOST","RACE"))))</x:f>
        <x:v>RACE</x:v>
      </x:c>
      <x:c r="F136" s="83" t="n">
        <x:f>IF(OR(E136="GRID",E136="FINISHED",E136="PIT"),0,MAX(Control!$B$15,(INDEX(Drivers!$D$8:$D$13,B136)+INDEX(Drivers!$E$8:$E$13,B136)*SIN((A136+INDEX(Drivers!$F$8:$F$13,B136)+Control!$B$16)*Control!$B$14))*INDEX(TrackMap!$M$8:$M$141,MOD(INT(D136)-1,Control!$B$7)+1)*IF(E136="BOOST",Control!$B$12,1)))</x:f>
        <x:v>3.370474626883051</x:v>
      </x:c>
      <x:c r="G136" s="83" t="n">
        <x:f>IF(A136=0,D136,MIN(Control!$B$17,D136+F136))</x:f>
        <x:v>67.99928076635679</x:v>
      </x:c>
      <x:c r="H136" s="73" t="n">
        <x:f>MOD(INT(G136)-1,Control!$B$7)+1</x:f>
        <x:v>67</x:v>
      </x:c>
      <x:c r="I136" s="73" t="n">
        <x:f>MIN(Control!$B$6,MAX(1,INT(MAX(0,G136)/Control!$B$7)+1))</x:f>
        <x:v>1</x:v>
      </x:c>
      <x:c r="J136" s="73" t="n">
        <x:f>INDEX(Drivers!$H$8:$H$13,B136)</x:f>
        <x:v>1</x:v>
      </x:c>
      <x:c r="K136" s="73" t="n">
        <x:f>IF(J136=1,INDEX(TrackMap!$I$8:$I$141,H136),INDEX(TrackMap!$L$8:$L$141,H136))</x:f>
        <x:v>1640</x:v>
      </x:c>
      <x:c r="L136" s="73" t="str">
        <x:f>INDEX(TrackMap!$F$8:$F$141,H136)</x:f>
        <x:v>→</x:v>
      </x:c>
      <x:c r="M136" s="87" t="n">
        <x:f>MAX(0,G136/Control!$B$17)</x:f>
        <x:v>0.10149146383038327</x:v>
      </x:c>
      <x:c r="N136" s="73" t="n">
        <x:f>IF(N130&gt;0,N130,IF(G136&gt;=Control!$B$17,A136,0))</x:f>
        <x:v>0</x:v>
      </x:c>
      <x:c r="O136" s="91" t="n">
        <x:f>IF(N136&gt;0,Control!$B$17+Control!$B$8+1-N136,G136)-B136/100000</x:f>
        <x:v>67.9992507663568</x:v>
      </x:c>
      <x:c r="P136" s="73" t="n">
        <x:f>COUNTIF($O$134:$O$139,"&gt;"&amp;O136)+1</x:f>
        <x:v>4</x:v>
      </x:c>
      <x:c r="Q136" s="83" t="n">
        <x:f>MAX($G$134:$G$139)-G136</x:f>
        <x:v>2.720329403815228</x:v>
      </x:c>
      <x:c r="R136" s="73" t="str">
        <x:f>INDEX(TrackMap!$B$8:$B$141,H136)</x:f>
        <x:v>中央高速直道</x:v>
      </x:c>
    </x:row>
    <x:row r="137" ht="20" customHeight="1">
      <x:c r="A137" s="73" t="n">
        <x:v>21</x:v>
      </x:c>
      <x:c r="B137" s="73" t="n">
        <x:v>4</x:v>
      </x:c>
      <x:c r="C137" s="73" t="str">
        <x:f>INDEX(Drivers!$B$8:$B$13,B137)</x:f>
        <x:v>紫影</x:v>
      </x:c>
      <x:c r="D137" s="83" t="n">
        <x:f>G131</x:f>
        <x:v>66.56545466488596</x:v>
      </x:c>
      <x:c r="E137" s="83" t="str">
        <x:f>IF(A137=0,"GRID",IF(D137&gt;=Control!$B$17,"FINISHED",IF(AND(A137&gt;=INDEX(Drivers!$G$8:$G$13,B137),A137&lt;INDEX(Drivers!$G$8:$G$13,B137)+INDEX(Drivers!$J$8:$J$13,B137)),"PIT",IF(MOD(A137+INDEX(Drivers!$F$8:$F$13,B137),Control!$B$11)&lt;Control!$B$13,"BOOST","RACE"))))</x:f>
        <x:v>RACE</x:v>
      </x:c>
      <x:c r="F137" s="83" t="n">
        <x:f>IF(OR(E137="GRID",E137="FINISHED",E137="PIT"),0,MAX(Control!$B$15,(INDEX(Drivers!$D$8:$D$13,B137)+INDEX(Drivers!$E$8:$E$13,B137)*SIN((A137+INDEX(Drivers!$F$8:$F$13,B137)+Control!$B$16)*Control!$B$14))*INDEX(TrackMap!$M$8:$M$141,MOD(INT(D137)-1,Control!$B$7)+1)*IF(E137="BOOST",Control!$B$12,1)))</x:f>
        <x:v>4.154155505286055</x:v>
      </x:c>
      <x:c r="G137" s="83" t="n">
        <x:f>IF(A137=0,D137,MIN(Control!$B$17,D137+F137))</x:f>
        <x:v>70.71961017017202</x:v>
      </x:c>
      <x:c r="H137" s="73" t="n">
        <x:f>MOD(INT(G137)-1,Control!$B$7)+1</x:f>
        <x:v>70</x:v>
      </x:c>
      <x:c r="I137" s="73" t="n">
        <x:f>MIN(Control!$B$6,MAX(1,INT(MAX(0,G137)/Control!$B$7)+1))</x:f>
        <x:v>1</x:v>
      </x:c>
      <x:c r="J137" s="73" t="n">
        <x:f>INDEX(Drivers!$H$8:$H$13,B137)</x:f>
        <x:v>2</x:v>
      </x:c>
      <x:c r="K137" s="73" t="n">
        <x:f>IF(J137=1,INDEX(TrackMap!$I$8:$I$141,H137),INDEX(TrackMap!$L$8:$L$141,H137))</x:f>
        <x:v>1543</x:v>
      </x:c>
      <x:c r="L137" s="73" t="str">
        <x:f>INDEX(TrackMap!$F$8:$F$141,H137)</x:f>
        <x:v>→</x:v>
      </x:c>
      <x:c r="M137" s="87" t="n">
        <x:f>MAX(0,G137/Control!$B$17)</x:f>
        <x:v>0.105551656970406</x:v>
      </x:c>
      <x:c r="N137" s="73" t="n">
        <x:f>IF(N131&gt;0,N131,IF(G137&gt;=Control!$B$17,A137,0))</x:f>
        <x:v>0</x:v>
      </x:c>
      <x:c r="O137" s="91" t="n">
        <x:f>IF(N137&gt;0,Control!$B$17+Control!$B$8+1-N137,G137)-B137/100000</x:f>
        <x:v>70.71957017017202</x:v>
      </x:c>
      <x:c r="P137" s="73" t="n">
        <x:f>COUNTIF($O$134:$O$139,"&gt;"&amp;O137)+1</x:f>
        <x:v>1</x:v>
      </x:c>
      <x:c r="Q137" s="83" t="n">
        <x:f>MAX($G$134:$G$139)-G137</x:f>
        <x:v>0</x:v>
      </x:c>
      <x:c r="R137" s="73" t="str">
        <x:f>INDEX(TrackMap!$B$8:$B$141,H137)</x:f>
        <x:v>中央高速直道</x:v>
      </x:c>
    </x:row>
    <x:row r="138" ht="20" customHeight="1">
      <x:c r="A138" s="73" t="n">
        <x:v>21</x:v>
      </x:c>
      <x:c r="B138" s="73" t="n">
        <x:v>5</x:v>
      </x:c>
      <x:c r="C138" s="73" t="str">
        <x:f>INDEX(Drivers!$B$8:$B$13,B138)</x:f>
        <x:v>青锋</x:v>
      </x:c>
      <x:c r="D138" s="83" t="n">
        <x:f>G132</x:f>
        <x:v>58.89239168771805</x:v>
      </x:c>
      <x:c r="E138" s="83" t="str">
        <x:f>IF(A138=0,"GRID",IF(D138&gt;=Control!$B$17,"FINISHED",IF(AND(A138&gt;=INDEX(Drivers!$G$8:$G$13,B138),A138&lt;INDEX(Drivers!$G$8:$G$13,B138)+INDEX(Drivers!$J$8:$J$13,B138)),"PIT",IF(MOD(A138+INDEX(Drivers!$F$8:$F$13,B138),Control!$B$11)&lt;Control!$B$13,"BOOST","RACE"))))</x:f>
        <x:v>RACE</x:v>
      </x:c>
      <x:c r="F138" s="83" t="n">
        <x:f>IF(OR(E138="GRID",E138="FINISHED",E138="PIT"),0,MAX(Control!$B$15,(INDEX(Drivers!$D$8:$D$13,B138)+INDEX(Drivers!$E$8:$E$13,B138)*SIN((A138+INDEX(Drivers!$F$8:$F$13,B138)+Control!$B$16)*Control!$B$14))*INDEX(TrackMap!$M$8:$M$141,MOD(INT(D138)-1,Control!$B$7)+1)*IF(E138="BOOST",Control!$B$12,1)))</x:f>
        <x:v>4.127863554021018</x:v>
      </x:c>
      <x:c r="G138" s="83" t="n">
        <x:f>IF(A138=0,D138,MIN(Control!$B$17,D138+F138))</x:f>
        <x:v>63.02025524173907</x:v>
      </x:c>
      <x:c r="H138" s="73" t="n">
        <x:f>MOD(INT(G138)-1,Control!$B$7)+1</x:f>
        <x:v>63</x:v>
      </x:c>
      <x:c r="I138" s="73" t="n">
        <x:f>MIN(Control!$B$6,MAX(1,INT(MAX(0,G138)/Control!$B$7)+1))</x:f>
        <x:v>1</x:v>
      </x:c>
      <x:c r="J138" s="73" t="n">
        <x:f>INDEX(Drivers!$H$8:$H$13,B138)</x:f>
        <x:v>1</x:v>
      </x:c>
      <x:c r="K138" s="73" t="n">
        <x:f>IF(J138=1,INDEX(TrackMap!$I$8:$I$141,H138),INDEX(TrackMap!$L$8:$L$141,H138))</x:f>
        <x:v>1636</x:v>
      </x:c>
      <x:c r="L138" s="73" t="str">
        <x:f>INDEX(TrackMap!$F$8:$F$141,H138)</x:f>
        <x:v>→</x:v>
      </x:c>
      <x:c r="M138" s="87" t="n">
        <x:f>MAX(0,G138/Control!$B$17)</x:f>
        <x:v>0.09406008245035682</x:v>
      </x:c>
      <x:c r="N138" s="73" t="n">
        <x:f>IF(N132&gt;0,N132,IF(G138&gt;=Control!$B$17,A138,0))</x:f>
        <x:v>0</x:v>
      </x:c>
      <x:c r="O138" s="91" t="n">
        <x:f>IF(N138&gt;0,Control!$B$17+Control!$B$8+1-N138,G138)-B138/100000</x:f>
        <x:v>63.02020524173907</x:v>
      </x:c>
      <x:c r="P138" s="73" t="n">
        <x:f>COUNTIF($O$134:$O$139,"&gt;"&amp;O138)+1</x:f>
        <x:v>6</x:v>
      </x:c>
      <x:c r="Q138" s="83" t="n">
        <x:f>MAX($G$134:$G$139)-G138</x:f>
        <x:v>7.699354928432946</x:v>
      </x:c>
      <x:c r="R138" s="73" t="str">
        <x:f>INDEX(TrackMap!$B$8:$B$141,H138)</x:f>
        <x:v>中央高速直道</x:v>
      </x:c>
    </x:row>
    <x:row r="139" ht="20" customHeight="1">
      <x:c r="A139" s="73" t="n">
        <x:v>21</x:v>
      </x:c>
      <x:c r="B139" s="73" t="n">
        <x:v>6</x:v>
      </x:c>
      <x:c r="C139" s="73" t="str">
        <x:f>INDEX(Drivers!$B$8:$B$13,B139)</x:f>
        <x:v>玫速</x:v>
      </x:c>
      <x:c r="D139" s="83" t="n">
        <x:f>G133</x:f>
        <x:v>60.60109030495973</x:v>
      </x:c>
      <x:c r="E139" s="83" t="str">
        <x:f>IF(A139=0,"GRID",IF(D139&gt;=Control!$B$17,"FINISHED",IF(AND(A139&gt;=INDEX(Drivers!$G$8:$G$13,B139),A139&lt;INDEX(Drivers!$G$8:$G$13,B139)+INDEX(Drivers!$J$8:$J$13,B139)),"PIT",IF(MOD(A139+INDEX(Drivers!$F$8:$F$13,B139),Control!$B$11)&lt;Control!$B$13,"BOOST","RACE"))))</x:f>
        <x:v>BOOST</x:v>
      </x:c>
      <x:c r="F139" s="83" t="n">
        <x:f>IF(OR(E139="GRID",E139="FINISHED",E139="PIT"),0,MAX(Control!$B$15,(INDEX(Drivers!$D$8:$D$13,B139)+INDEX(Drivers!$E$8:$E$13,B139)*SIN((A139+INDEX(Drivers!$F$8:$F$13,B139)+Control!$B$16)*Control!$B$14))*INDEX(TrackMap!$M$8:$M$141,MOD(INT(D139)-1,Control!$B$7)+1)*IF(E139="BOOST",Control!$B$12,1)))</x:f>
        <x:v>4.184966423873792</x:v>
      </x:c>
      <x:c r="G139" s="83" t="n">
        <x:f>IF(A139=0,D139,MIN(Control!$B$17,D139+F139))</x:f>
        <x:v>64.78605672883353</x:v>
      </x:c>
      <x:c r="H139" s="73" t="n">
        <x:f>MOD(INT(G139)-1,Control!$B$7)+1</x:f>
        <x:v>64</x:v>
      </x:c>
      <x:c r="I139" s="73" t="n">
        <x:f>MIN(Control!$B$6,MAX(1,INT(MAX(0,G139)/Control!$B$7)+1))</x:f>
        <x:v>1</x:v>
      </x:c>
      <x:c r="J139" s="73" t="n">
        <x:f>INDEX(Drivers!$H$8:$H$13,B139)</x:f>
        <x:v>2</x:v>
      </x:c>
      <x:c r="K139" s="73" t="n">
        <x:f>IF(J139=1,INDEX(TrackMap!$I$8:$I$141,H139),INDEX(TrackMap!$L$8:$L$141,H139))</x:f>
        <x:v>1537</x:v>
      </x:c>
      <x:c r="L139" s="73" t="str">
        <x:f>INDEX(TrackMap!$F$8:$F$141,H139)</x:f>
        <x:v>→</x:v>
      </x:c>
      <x:c r="M139" s="87" t="n">
        <x:f>MAX(0,G139/Control!$B$17)</x:f>
        <x:v>0.09669560705796049</x:v>
      </x:c>
      <x:c r="N139" s="73" t="n">
        <x:f>IF(N133&gt;0,N133,IF(G139&gt;=Control!$B$17,A139,0))</x:f>
        <x:v>0</x:v>
      </x:c>
      <x:c r="O139" s="91" t="n">
        <x:f>IF(N139&gt;0,Control!$B$17+Control!$B$8+1-N139,G139)-B139/100000</x:f>
        <x:v>64.78599672883352</x:v>
      </x:c>
      <x:c r="P139" s="73" t="n">
        <x:f>COUNTIF($O$134:$O$139,"&gt;"&amp;O139)+1</x:f>
        <x:v>5</x:v>
      </x:c>
      <x:c r="Q139" s="83" t="n">
        <x:f>MAX($G$134:$G$139)-G139</x:f>
        <x:v>5.933553441338489</x:v>
      </x:c>
      <x:c r="R139" s="73" t="str">
        <x:f>INDEX(TrackMap!$B$8:$B$141,H139)</x:f>
        <x:v>中央高速直道</x:v>
      </x:c>
    </x:row>
    <x:row r="140" ht="20" customHeight="1">
      <x:c r="A140" s="73" t="n">
        <x:v>22</x:v>
      </x:c>
      <x:c r="B140" s="73" t="n">
        <x:v>1</x:v>
      </x:c>
      <x:c r="C140" s="73" t="str">
        <x:f>INDEX(Drivers!$B$8:$B$13,B140)</x:f>
        <x:v>赤焰</x:v>
      </x:c>
      <x:c r="D140" s="83" t="n">
        <x:f>G134</x:f>
        <x:v>68.19994207079282</x:v>
      </x:c>
      <x:c r="E140" s="83" t="str">
        <x:f>IF(A140=0,"GRID",IF(D140&gt;=Control!$B$17,"FINISHED",IF(AND(A140&gt;=INDEX(Drivers!$G$8:$G$13,B140),A140&lt;INDEX(Drivers!$G$8:$G$13,B140)+INDEX(Drivers!$J$8:$J$13,B140)),"PIT",IF(MOD(A140+INDEX(Drivers!$F$8:$F$13,B140),Control!$B$11)&lt;Control!$B$13,"BOOST","RACE"))))</x:f>
        <x:v>RACE</x:v>
      </x:c>
      <x:c r="F140" s="83" t="n">
        <x:f>IF(OR(E140="GRID",E140="FINISHED",E140="PIT"),0,MAX(Control!$B$15,(INDEX(Drivers!$D$8:$D$13,B140)+INDEX(Drivers!$E$8:$E$13,B140)*SIN((A140+INDEX(Drivers!$F$8:$F$13,B140)+Control!$B$16)*Control!$B$14))*INDEX(TrackMap!$M$8:$M$141,MOD(INT(D140)-1,Control!$B$7)+1)*IF(E140="BOOST",Control!$B$12,1)))</x:f>
        <x:v>4.026359415217253</x:v>
      </x:c>
      <x:c r="G140" s="83" t="n">
        <x:f>IF(A140=0,D140,MIN(Control!$B$17,D140+F140))</x:f>
        <x:v>72.22630148601007</x:v>
      </x:c>
      <x:c r="H140" s="73" t="n">
        <x:f>MOD(INT(G140)-1,Control!$B$7)+1</x:f>
        <x:v>72</x:v>
      </x:c>
      <x:c r="I140" s="73" t="n">
        <x:f>MIN(Control!$B$6,MAX(1,INT(MAX(0,G140)/Control!$B$7)+1))</x:f>
        <x:v>1</x:v>
      </x:c>
      <x:c r="J140" s="73" t="n">
        <x:f>INDEX(Drivers!$H$8:$H$13,B140)</x:f>
        <x:v>1</x:v>
      </x:c>
      <x:c r="K140" s="73" t="n">
        <x:f>IF(J140=1,INDEX(TrackMap!$I$8:$I$141,H140),INDEX(TrackMap!$L$8:$L$141,H140))</x:f>
        <x:v>1446</x:v>
      </x:c>
      <x:c r="L140" s="73" t="str">
        <x:f>INDEX(TrackMap!$F$8:$F$141,H140)</x:f>
        <x:v>↑</x:v>
      </x:c>
      <x:c r="M140" s="87" t="n">
        <x:f>MAX(0,G140/Control!$B$17)</x:f>
        <x:v>0.10780044997911951</x:v>
      </x:c>
      <x:c r="N140" s="73" t="n">
        <x:f>IF(N134&gt;0,N134,IF(G140&gt;=Control!$B$17,A140,0))</x:f>
        <x:v>0</x:v>
      </x:c>
      <x:c r="O140" s="91" t="n">
        <x:f>IF(N140&gt;0,Control!$B$17+Control!$B$8+1-N140,G140)-B140/100000</x:f>
        <x:v>72.22629148601007</x:v>
      </x:c>
      <x:c r="P140" s="73" t="n">
        <x:f>COUNTIF($O$140:$O$145,"&gt;"&amp;O140)+1</x:f>
        <x:v>3</x:v>
      </x:c>
      <x:c r="Q140" s="83" t="n">
        <x:f>MAX($G$140:$G$145)-G140</x:f>
        <x:v>1.6560085423598423</x:v>
      </x:c>
      <x:c r="R140" s="73" t="str">
        <x:f>INDEX(TrackMap!$B$8:$B$141,H140)</x:f>
        <x:v>东侧上行弯</x:v>
      </x:c>
    </x:row>
    <x:row r="141" ht="20" customHeight="1">
      <x:c r="A141" s="73" t="n">
        <x:v>22</x:v>
      </x:c>
      <x:c r="B141" s="73" t="n">
        <x:v>2</x:v>
      </x:c>
      <x:c r="C141" s="73" t="str">
        <x:f>INDEX(Drivers!$B$8:$B$13,B141)</x:f>
        <x:v>蓝电</x:v>
      </x:c>
      <x:c r="D141" s="83" t="n">
        <x:f>G135</x:f>
        <x:v>69.03267812780892</x:v>
      </x:c>
      <x:c r="E141" s="83" t="str">
        <x:f>IF(A141=0,"GRID",IF(D141&gt;=Control!$B$17,"FINISHED",IF(AND(A141&gt;=INDEX(Drivers!$G$8:$G$13,B141),A141&lt;INDEX(Drivers!$G$8:$G$13,B141)+INDEX(Drivers!$J$8:$J$13,B141)),"PIT",IF(MOD(A141+INDEX(Drivers!$F$8:$F$13,B141),Control!$B$11)&lt;Control!$B$13,"BOOST","RACE"))))</x:f>
        <x:v>BOOST</x:v>
      </x:c>
      <x:c r="F141" s="83" t="n">
        <x:f>IF(OR(E141="GRID",E141="FINISHED",E141="PIT"),0,MAX(Control!$B$15,(INDEX(Drivers!$D$8:$D$13,B141)+INDEX(Drivers!$E$8:$E$13,B141)*SIN((A141+INDEX(Drivers!$F$8:$F$13,B141)+Control!$B$16)*Control!$B$14))*INDEX(TrackMap!$M$8:$M$141,MOD(INT(D141)-1,Control!$B$7)+1)*IF(E141="BOOST",Control!$B$12,1)))</x:f>
        <x:v>4.670461309209532</x:v>
      </x:c>
      <x:c r="G141" s="83" t="n">
        <x:f>IF(A141=0,D141,MIN(Control!$B$17,D141+F141))</x:f>
        <x:v>73.70313943701845</x:v>
      </x:c>
      <x:c r="H141" s="73" t="n">
        <x:f>MOD(INT(G141)-1,Control!$B$7)+1</x:f>
        <x:v>73</x:v>
      </x:c>
      <x:c r="I141" s="73" t="n">
        <x:f>MIN(Control!$B$6,MAX(1,INT(MAX(0,G141)/Control!$B$7)+1))</x:f>
        <x:v>1</x:v>
      </x:c>
      <x:c r="J141" s="73" t="n">
        <x:f>INDEX(Drivers!$H$8:$H$13,B141)</x:f>
        <x:v>2</x:v>
      </x:c>
      <x:c r="K141" s="73" t="n">
        <x:f>IF(J141=1,INDEX(TrackMap!$I$8:$I$141,H141),INDEX(TrackMap!$L$8:$L$141,H141))</x:f>
        <x:v>1345</x:v>
      </x:c>
      <x:c r="L141" s="73" t="str">
        <x:f>INDEX(TrackMap!$F$8:$F$141,H141)</x:f>
        <x:v>↑</x:v>
      </x:c>
      <x:c r="M141" s="87" t="n">
        <x:f>MAX(0,G141/Control!$B$17)</x:f>
        <x:v>0.1100046857268932</x:v>
      </x:c>
      <x:c r="N141" s="73" t="n">
        <x:f>IF(N135&gt;0,N135,IF(G141&gt;=Control!$B$17,A141,0))</x:f>
        <x:v>0</x:v>
      </x:c>
      <x:c r="O141" s="91" t="n">
        <x:f>IF(N141&gt;0,Control!$B$17+Control!$B$8+1-N141,G141)-B141/100000</x:f>
        <x:v>73.70311943701844</x:v>
      </x:c>
      <x:c r="P141" s="73" t="n">
        <x:f>COUNTIF($O$140:$O$145,"&gt;"&amp;O141)+1</x:f>
        <x:v>2</x:v>
      </x:c>
      <x:c r="Q141" s="83" t="n">
        <x:f>MAX($G$140:$G$145)-G141</x:f>
        <x:v>0.17917059135146474</x:v>
      </x:c>
      <x:c r="R141" s="73" t="str">
        <x:f>INDEX(TrackMap!$B$8:$B$141,H141)</x:f>
        <x:v>东侧上行弯</x:v>
      </x:c>
    </x:row>
    <x:row r="142" ht="20" customHeight="1">
      <x:c r="A142" s="73" t="n">
        <x:v>22</x:v>
      </x:c>
      <x:c r="B142" s="73" t="n">
        <x:v>3</x:v>
      </x:c>
      <x:c r="C142" s="73" t="str">
        <x:f>INDEX(Drivers!$B$8:$B$13,B142)</x:f>
        <x:v>金翼</x:v>
      </x:c>
      <x:c r="D142" s="83" t="n">
        <x:f>G136</x:f>
        <x:v>67.99928076635679</x:v>
      </x:c>
      <x:c r="E142" s="83" t="str">
        <x:f>IF(A142=0,"GRID",IF(D142&gt;=Control!$B$17,"FINISHED",IF(AND(A142&gt;=INDEX(Drivers!$G$8:$G$13,B142),A142&lt;INDEX(Drivers!$G$8:$G$13,B142)+INDEX(Drivers!$J$8:$J$13,B142)),"PIT",IF(MOD(A142+INDEX(Drivers!$F$8:$F$13,B142),Control!$B$11)&lt;Control!$B$13,"BOOST","RACE"))))</x:f>
        <x:v>RACE</x:v>
      </x:c>
      <x:c r="F142" s="83" t="n">
        <x:f>IF(OR(E142="GRID",E142="FINISHED",E142="PIT"),0,MAX(Control!$B$15,(INDEX(Drivers!$D$8:$D$13,B142)+INDEX(Drivers!$E$8:$E$13,B142)*SIN((A142+INDEX(Drivers!$F$8:$F$13,B142)+Control!$B$16)*Control!$B$14))*INDEX(TrackMap!$M$8:$M$141,MOD(INT(D142)-1,Control!$B$7)+1)*IF(E142="BOOST",Control!$B$12,1)))</x:f>
        <x:v>3.528759690765194</x:v>
      </x:c>
      <x:c r="G142" s="83" t="n">
        <x:f>IF(A142=0,D142,MIN(Control!$B$17,D142+F142))</x:f>
        <x:v>71.52804045712199</x:v>
      </x:c>
      <x:c r="H142" s="73" t="n">
        <x:f>MOD(INT(G142)-1,Control!$B$7)+1</x:f>
        <x:v>71</x:v>
      </x:c>
      <x:c r="I142" s="73" t="n">
        <x:f>MIN(Control!$B$6,MAX(1,INT(MAX(0,G142)/Control!$B$7)+1))</x:f>
        <x:v>1</x:v>
      </x:c>
      <x:c r="J142" s="73" t="n">
        <x:f>INDEX(Drivers!$H$8:$H$13,B142)</x:f>
        <x:v>1</x:v>
      </x:c>
      <x:c r="K142" s="73" t="n">
        <x:f>IF(J142=1,INDEX(TrackMap!$I$8:$I$141,H142),INDEX(TrackMap!$L$8:$L$141,H142))</x:f>
        <x:v>1644</x:v>
      </x:c>
      <x:c r="L142" s="73" t="str">
        <x:f>INDEX(TrackMap!$F$8:$F$141,H142)</x:f>
        <x:v>→</x:v>
      </x:c>
      <x:c r="M142" s="87" t="n">
        <x:f>MAX(0,G142/Control!$B$17)</x:f>
        <x:v>0.10675826933898805</x:v>
      </x:c>
      <x:c r="N142" s="73" t="n">
        <x:f>IF(N136&gt;0,N136,IF(G142&gt;=Control!$B$17,A142,0))</x:f>
        <x:v>0</x:v>
      </x:c>
      <x:c r="O142" s="91" t="n">
        <x:f>IF(N142&gt;0,Control!$B$17+Control!$B$8+1-N142,G142)-B142/100000</x:f>
        <x:v>71.528010457122</x:v>
      </x:c>
      <x:c r="P142" s="73" t="n">
        <x:f>COUNTIF($O$140:$O$145,"&gt;"&amp;O142)+1</x:f>
        <x:v>4</x:v>
      </x:c>
      <x:c r="Q142" s="83" t="n">
        <x:f>MAX($G$140:$G$145)-G142</x:f>
        <x:v>2.354269571247926</x:v>
      </x:c>
      <x:c r="R142" s="73" t="str">
        <x:f>INDEX(TrackMap!$B$8:$B$141,H142)</x:f>
        <x:v>中央高速直道</x:v>
      </x:c>
    </x:row>
    <x:row r="143" ht="20" customHeight="1">
      <x:c r="A143" s="73" t="n">
        <x:v>22</x:v>
      </x:c>
      <x:c r="B143" s="73" t="n">
        <x:v>4</x:v>
      </x:c>
      <x:c r="C143" s="73" t="str">
        <x:f>INDEX(Drivers!$B$8:$B$13,B143)</x:f>
        <x:v>紫影</x:v>
      </x:c>
      <x:c r="D143" s="83" t="n">
        <x:f>G137</x:f>
        <x:v>70.71961017017202</x:v>
      </x:c>
      <x:c r="E143" s="83" t="str">
        <x:f>IF(A143=0,"GRID",IF(D143&gt;=Control!$B$17,"FINISHED",IF(AND(A143&gt;=INDEX(Drivers!$G$8:$G$13,B143),A143&lt;INDEX(Drivers!$G$8:$G$13,B143)+INDEX(Drivers!$J$8:$J$13,B143)),"PIT",IF(MOD(A143+INDEX(Drivers!$F$8:$F$13,B143),Control!$B$11)&lt;Control!$B$13,"BOOST","RACE"))))</x:f>
        <x:v>RACE</x:v>
      </x:c>
      <x:c r="F143" s="83" t="n">
        <x:f>IF(OR(E143="GRID",E143="FINISHED",E143="PIT"),0,MAX(Control!$B$15,(INDEX(Drivers!$D$8:$D$13,B143)+INDEX(Drivers!$E$8:$E$13,B143)*SIN((A143+INDEX(Drivers!$F$8:$F$13,B143)+Control!$B$16)*Control!$B$14))*INDEX(TrackMap!$M$8:$M$141,MOD(INT(D143)-1,Control!$B$7)+1)*IF(E143="BOOST",Control!$B$12,1)))</x:f>
        <x:v>3.1626998581978967</x:v>
      </x:c>
      <x:c r="G143" s="83" t="n">
        <x:f>IF(A143=0,D143,MIN(Control!$B$17,D143+F143))</x:f>
        <x:v>73.88231002836991</x:v>
      </x:c>
      <x:c r="H143" s="73" t="n">
        <x:f>MOD(INT(G143)-1,Control!$B$7)+1</x:f>
        <x:v>73</x:v>
      </x:c>
      <x:c r="I143" s="73" t="n">
        <x:f>MIN(Control!$B$6,MAX(1,INT(MAX(0,G143)/Control!$B$7)+1))</x:f>
        <x:v>1</x:v>
      </x:c>
      <x:c r="J143" s="73" t="n">
        <x:f>INDEX(Drivers!$H$8:$H$13,B143)</x:f>
        <x:v>2</x:v>
      </x:c>
      <x:c r="K143" s="73" t="n">
        <x:f>IF(J143=1,INDEX(TrackMap!$I$8:$I$141,H143),INDEX(TrackMap!$L$8:$L$141,H143))</x:f>
        <x:v>1345</x:v>
      </x:c>
      <x:c r="L143" s="73" t="str">
        <x:f>INDEX(TrackMap!$F$8:$F$141,H143)</x:f>
        <x:v>↑</x:v>
      </x:c>
      <x:c r="M143" s="87" t="n">
        <x:f>MAX(0,G143/Control!$B$17)</x:f>
        <x:v>0.1102721045199551</x:v>
      </x:c>
      <x:c r="N143" s="73" t="n">
        <x:f>IF(N137&gt;0,N137,IF(G143&gt;=Control!$B$17,A143,0))</x:f>
        <x:v>0</x:v>
      </x:c>
      <x:c r="O143" s="91" t="n">
        <x:f>IF(N143&gt;0,Control!$B$17+Control!$B$8+1-N143,G143)-B143/100000</x:f>
        <x:v>73.88227002836992</x:v>
      </x:c>
      <x:c r="P143" s="73" t="n">
        <x:f>COUNTIF($O$140:$O$145,"&gt;"&amp;O143)+1</x:f>
        <x:v>1</x:v>
      </x:c>
      <x:c r="Q143" s="83" t="n">
        <x:f>MAX($G$140:$G$145)-G143</x:f>
        <x:v>0</x:v>
      </x:c>
      <x:c r="R143" s="73" t="str">
        <x:f>INDEX(TrackMap!$B$8:$B$141,H143)</x:f>
        <x:v>东侧上行弯</x:v>
      </x:c>
    </x:row>
    <x:row r="144" ht="20" customHeight="1">
      <x:c r="A144" s="73" t="n">
        <x:v>22</x:v>
      </x:c>
      <x:c r="B144" s="73" t="n">
        <x:v>5</x:v>
      </x:c>
      <x:c r="C144" s="73" t="str">
        <x:f>INDEX(Drivers!$B$8:$B$13,B144)</x:f>
        <x:v>青锋</x:v>
      </x:c>
      <x:c r="D144" s="83" t="n">
        <x:f>G138</x:f>
        <x:v>63.02025524173907</x:v>
      </x:c>
      <x:c r="E144" s="83" t="str">
        <x:f>IF(A144=0,"GRID",IF(D144&gt;=Control!$B$17,"FINISHED",IF(AND(A144&gt;=INDEX(Drivers!$G$8:$G$13,B144),A144&lt;INDEX(Drivers!$G$8:$G$13,B144)+INDEX(Drivers!$J$8:$J$13,B144)),"PIT",IF(MOD(A144+INDEX(Drivers!$F$8:$F$13,B144),Control!$B$11)&lt;Control!$B$13,"BOOST","RACE"))))</x:f>
        <x:v>RACE</x:v>
      </x:c>
      <x:c r="F144" s="83" t="n">
        <x:f>IF(OR(E144="GRID",E144="FINISHED",E144="PIT"),0,MAX(Control!$B$15,(INDEX(Drivers!$D$8:$D$13,B144)+INDEX(Drivers!$E$8:$E$13,B144)*SIN((A144+INDEX(Drivers!$F$8:$F$13,B144)+Control!$B$16)*Control!$B$14))*INDEX(TrackMap!$M$8:$M$141,MOD(INT(D144)-1,Control!$B$7)+1)*IF(E144="BOOST",Control!$B$12,1)))</x:f>
        <x:v>4.039891075035165</x:v>
      </x:c>
      <x:c r="G144" s="83" t="n">
        <x:f>IF(A144=0,D144,MIN(Control!$B$17,D144+F144))</x:f>
        <x:v>67.06014631677424</x:v>
      </x:c>
      <x:c r="H144" s="73" t="n">
        <x:f>MOD(INT(G144)-1,Control!$B$7)+1</x:f>
        <x:v>67</x:v>
      </x:c>
      <x:c r="I144" s="73" t="n">
        <x:f>MIN(Control!$B$6,MAX(1,INT(MAX(0,G144)/Control!$B$7)+1))</x:f>
        <x:v>1</x:v>
      </x:c>
      <x:c r="J144" s="73" t="n">
        <x:f>INDEX(Drivers!$H$8:$H$13,B144)</x:f>
        <x:v>1</x:v>
      </x:c>
      <x:c r="K144" s="73" t="n">
        <x:f>IF(J144=1,INDEX(TrackMap!$I$8:$I$141,H144),INDEX(TrackMap!$L$8:$L$141,H144))</x:f>
        <x:v>1640</x:v>
      </x:c>
      <x:c r="L144" s="73" t="str">
        <x:f>INDEX(TrackMap!$F$8:$F$141,H144)</x:f>
        <x:v>→</x:v>
      </x:c>
      <x:c r="M144" s="87" t="n">
        <x:f>MAX(0,G144/Control!$B$17)</x:f>
        <x:v>0.1000897706220511</x:v>
      </x:c>
      <x:c r="N144" s="73" t="n">
        <x:f>IF(N138&gt;0,N138,IF(G144&gt;=Control!$B$17,A144,0))</x:f>
        <x:v>0</x:v>
      </x:c>
      <x:c r="O144" s="91" t="n">
        <x:f>IF(N144&gt;0,Control!$B$17+Control!$B$8+1-N144,G144)-B144/100000</x:f>
        <x:v>67.06009631677423</x:v>
      </x:c>
      <x:c r="P144" s="73" t="n">
        <x:f>COUNTIF($O$140:$O$145,"&gt;"&amp;O144)+1</x:f>
        <x:v>6</x:v>
      </x:c>
      <x:c r="Q144" s="83" t="n">
        <x:f>MAX($G$140:$G$145)-G144</x:f>
        <x:v>6.822163711595678</x:v>
      </x:c>
      <x:c r="R144" s="73" t="str">
        <x:f>INDEX(TrackMap!$B$8:$B$141,H144)</x:f>
        <x:v>中央高速直道</x:v>
      </x:c>
    </x:row>
    <x:row r="145" ht="20" customHeight="1">
      <x:c r="A145" s="73" t="n">
        <x:v>22</x:v>
      </x:c>
      <x:c r="B145" s="73" t="n">
        <x:v>6</x:v>
      </x:c>
      <x:c r="C145" s="73" t="str">
        <x:f>INDEX(Drivers!$B$8:$B$13,B145)</x:f>
        <x:v>玫速</x:v>
      </x:c>
      <x:c r="D145" s="83" t="n">
        <x:f>G139</x:f>
        <x:v>64.78605672883353</x:v>
      </x:c>
      <x:c r="E145" s="83" t="str">
        <x:f>IF(A145=0,"GRID",IF(D145&gt;=Control!$B$17,"FINISHED",IF(AND(A145&gt;=INDEX(Drivers!$G$8:$G$13,B145),A145&lt;INDEX(Drivers!$G$8:$G$13,B145)+INDEX(Drivers!$J$8:$J$13,B145)),"PIT",IF(MOD(A145+INDEX(Drivers!$F$8:$F$13,B145),Control!$B$11)&lt;Control!$B$13,"BOOST","RACE"))))</x:f>
        <x:v>RACE</x:v>
      </x:c>
      <x:c r="F145" s="83" t="n">
        <x:f>IF(OR(E145="GRID",E145="FINISHED",E145="PIT"),0,MAX(Control!$B$15,(INDEX(Drivers!$D$8:$D$13,B145)+INDEX(Drivers!$E$8:$E$13,B145)*SIN((A145+INDEX(Drivers!$F$8:$F$13,B145)+Control!$B$16)*Control!$B$14))*INDEX(TrackMap!$M$8:$M$141,MOD(INT(D145)-1,Control!$B$7)+1)*IF(E145="BOOST",Control!$B$12,1)))</x:f>
        <x:v>3.0837085017455994</x:v>
      </x:c>
      <x:c r="G145" s="83" t="n">
        <x:f>IF(A145=0,D145,MIN(Control!$B$17,D145+F145))</x:f>
        <x:v>67.86976523057913</x:v>
      </x:c>
      <x:c r="H145" s="73" t="n">
        <x:f>MOD(INT(G145)-1,Control!$B$7)+1</x:f>
        <x:v>67</x:v>
      </x:c>
      <x:c r="I145" s="73" t="n">
        <x:f>MIN(Control!$B$6,MAX(1,INT(MAX(0,G145)/Control!$B$7)+1))</x:f>
        <x:v>1</x:v>
      </x:c>
      <x:c r="J145" s="73" t="n">
        <x:f>INDEX(Drivers!$H$8:$H$13,B145)</x:f>
        <x:v>2</x:v>
      </x:c>
      <x:c r="K145" s="73" t="n">
        <x:f>IF(J145=1,INDEX(TrackMap!$I$8:$I$141,H145),INDEX(TrackMap!$L$8:$L$141,H145))</x:f>
        <x:v>1540</x:v>
      </x:c>
      <x:c r="L145" s="73" t="str">
        <x:f>INDEX(TrackMap!$F$8:$F$141,H145)</x:f>
        <x:v>→</x:v>
      </x:c>
      <x:c r="M145" s="87" t="n">
        <x:f>MAX(0,G145/Control!$B$17)</x:f>
        <x:v>0.10129815706056587</x:v>
      </x:c>
      <x:c r="N145" s="73" t="n">
        <x:f>IF(N139&gt;0,N139,IF(G145&gt;=Control!$B$17,A145,0))</x:f>
        <x:v>0</x:v>
      </x:c>
      <x:c r="O145" s="91" t="n">
        <x:f>IF(N145&gt;0,Control!$B$17+Control!$B$8+1-N145,G145)-B145/100000</x:f>
        <x:v>67.86970523057913</x:v>
      </x:c>
      <x:c r="P145" s="73" t="n">
        <x:f>COUNTIF($O$140:$O$145,"&gt;"&amp;O145)+1</x:f>
        <x:v>5</x:v>
      </x:c>
      <x:c r="Q145" s="83" t="n">
        <x:f>MAX($G$140:$G$145)-G145</x:f>
        <x:v>6.012544797790781</x:v>
      </x:c>
      <x:c r="R145" s="73" t="str">
        <x:f>INDEX(TrackMap!$B$8:$B$141,H145)</x:f>
        <x:v>中央高速直道</x:v>
      </x:c>
    </x:row>
    <x:row r="146" ht="20" customHeight="1">
      <x:c r="A146" s="73" t="n">
        <x:v>23</x:v>
      </x:c>
      <x:c r="B146" s="73" t="n">
        <x:v>1</x:v>
      </x:c>
      <x:c r="C146" s="73" t="str">
        <x:f>INDEX(Drivers!$B$8:$B$13,B146)</x:f>
        <x:v>赤焰</x:v>
      </x:c>
      <x:c r="D146" s="83" t="n">
        <x:f>G140</x:f>
        <x:v>72.22630148601007</x:v>
      </x:c>
      <x:c r="E146" s="83" t="str">
        <x:f>IF(A146=0,"GRID",IF(D146&gt;=Control!$B$17,"FINISHED",IF(AND(A146&gt;=INDEX(Drivers!$G$8:$G$13,B146),A146&lt;INDEX(Drivers!$G$8:$G$13,B146)+INDEX(Drivers!$J$8:$J$13,B146)),"PIT",IF(MOD(A146+INDEX(Drivers!$F$8:$F$13,B146),Control!$B$11)&lt;Control!$B$13,"BOOST","RACE"))))</x:f>
        <x:v>RACE</x:v>
      </x:c>
      <x:c r="F146" s="83" t="n">
        <x:f>IF(OR(E146="GRID",E146="FINISHED",E146="PIT"),0,MAX(Control!$B$15,(INDEX(Drivers!$D$8:$D$13,B146)+INDEX(Drivers!$E$8:$E$13,B146)*SIN((A146+INDEX(Drivers!$F$8:$F$13,B146)+Control!$B$16)*Control!$B$14))*INDEX(TrackMap!$M$8:$M$141,MOD(INT(D146)-1,Control!$B$7)+1)*IF(E146="BOOST",Control!$B$12,1)))</x:f>
        <x:v>3.233818905358482</x:v>
      </x:c>
      <x:c r="G146" s="83" t="n">
        <x:f>IF(A146=0,D146,MIN(Control!$B$17,D146+F146))</x:f>
        <x:v>75.46012039136855</x:v>
      </x:c>
      <x:c r="H146" s="73" t="n">
        <x:f>MOD(INT(G146)-1,Control!$B$7)+1</x:f>
        <x:v>75</x:v>
      </x:c>
      <x:c r="I146" s="73" t="n">
        <x:f>MIN(Control!$B$6,MAX(1,INT(MAX(0,G146)/Control!$B$7)+1))</x:f>
        <x:v>1</x:v>
      </x:c>
      <x:c r="J146" s="73" t="n">
        <x:f>INDEX(Drivers!$H$8:$H$13,B146)</x:f>
        <x:v>1</x:v>
      </x:c>
      <x:c r="K146" s="73" t="n">
        <x:f>IF(J146=1,INDEX(TrackMap!$I$8:$I$141,H146),INDEX(TrackMap!$L$8:$L$141,H146))</x:f>
        <x:v>1146</x:v>
      </x:c>
      <x:c r="L146" s="73" t="str">
        <x:f>INDEX(TrackMap!$F$8:$F$141,H146)</x:f>
        <x:v>↑</x:v>
      </x:c>
      <x:c r="M146" s="87" t="n">
        <x:f>MAX(0,G146/Control!$B$17)</x:f>
        <x:v>0.11262704536025156</x:v>
      </x:c>
      <x:c r="N146" s="73" t="n">
        <x:f>IF(N140&gt;0,N140,IF(G146&gt;=Control!$B$17,A146,0))</x:f>
        <x:v>0</x:v>
      </x:c>
      <x:c r="O146" s="91" t="n">
        <x:f>IF(N146&gt;0,Control!$B$17+Control!$B$8+1-N146,G146)-B146/100000</x:f>
        <x:v>75.46011039136854</x:v>
      </x:c>
      <x:c r="P146" s="73" t="n">
        <x:f>COUNTIF($O$146:$O$151,"&gt;"&amp;O146)+1</x:f>
        <x:v>3</x:v>
      </x:c>
      <x:c r="Q146" s="83" t="n">
        <x:f>MAX($G$146:$G$151)-G146</x:f>
        <x:v>1.670736860835433</x:v>
      </x:c>
      <x:c r="R146" s="73" t="str">
        <x:f>INDEX(TrackMap!$B$8:$B$141,H146)</x:f>
        <x:v>东侧上行弯</x:v>
      </x:c>
    </x:row>
    <x:row r="147" ht="20" customHeight="1">
      <x:c r="A147" s="73" t="n">
        <x:v>23</x:v>
      </x:c>
      <x:c r="B147" s="73" t="n">
        <x:v>2</x:v>
      </x:c>
      <x:c r="C147" s="73" t="str">
        <x:f>INDEX(Drivers!$B$8:$B$13,B147)</x:f>
        <x:v>蓝电</x:v>
      </x:c>
      <x:c r="D147" s="83" t="n">
        <x:f>G141</x:f>
        <x:v>73.70313943701845</x:v>
      </x:c>
      <x:c r="E147" s="83" t="str">
        <x:f>IF(A147=0,"GRID",IF(D147&gt;=Control!$B$17,"FINISHED",IF(AND(A147&gt;=INDEX(Drivers!$G$8:$G$13,B147),A147&lt;INDEX(Drivers!$G$8:$G$13,B147)+INDEX(Drivers!$J$8:$J$13,B147)),"PIT",IF(MOD(A147+INDEX(Drivers!$F$8:$F$13,B147),Control!$B$11)&lt;Control!$B$13,"BOOST","RACE"))))</x:f>
        <x:v>BOOST</x:v>
      </x:c>
      <x:c r="F147" s="83" t="n">
        <x:f>IF(OR(E147="GRID",E147="FINISHED",E147="PIT"),0,MAX(Control!$B$15,(INDEX(Drivers!$D$8:$D$13,B147)+INDEX(Drivers!$E$8:$E$13,B147)*SIN((A147+INDEX(Drivers!$F$8:$F$13,B147)+Control!$B$16)*Control!$B$14))*INDEX(TrackMap!$M$8:$M$141,MOD(INT(D147)-1,Control!$B$7)+1)*IF(E147="BOOST",Control!$B$12,1)))</x:f>
        <x:v>3.427717815185525</x:v>
      </x:c>
      <x:c r="G147" s="83" t="n">
        <x:f>IF(A147=0,D147,MIN(Control!$B$17,D147+F147))</x:f>
        <x:v>77.13085725220398</x:v>
      </x:c>
      <x:c r="H147" s="73" t="n">
        <x:f>MOD(INT(G147)-1,Control!$B$7)+1</x:f>
        <x:v>77</x:v>
      </x:c>
      <x:c r="I147" s="73" t="n">
        <x:f>MIN(Control!$B$6,MAX(1,INT(MAX(0,G147)/Control!$B$7)+1))</x:f>
        <x:v>1</x:v>
      </x:c>
      <x:c r="J147" s="73" t="n">
        <x:f>INDEX(Drivers!$H$8:$H$13,B147)</x:f>
        <x:v>2</x:v>
      </x:c>
      <x:c r="K147" s="73" t="n">
        <x:f>IF(J147=1,INDEX(TrackMap!$I$8:$I$141,H147),INDEX(TrackMap!$L$8:$L$141,H147))</x:f>
        <x:v>946</x:v>
      </x:c>
      <x:c r="L147" s="73" t="str">
        <x:f>INDEX(TrackMap!$F$8:$F$141,H147)</x:f>
        <x:v>→</x:v>
      </x:c>
      <x:c r="M147" s="87" t="n">
        <x:f>MAX(0,G147/Control!$B$17)</x:f>
        <x:v>0.11512068246597609</x:v>
      </x:c>
      <x:c r="N147" s="73" t="n">
        <x:f>IF(N141&gt;0,N141,IF(G147&gt;=Control!$B$17,A147,0))</x:f>
        <x:v>0</x:v>
      </x:c>
      <x:c r="O147" s="91" t="n">
        <x:f>IF(N147&gt;0,Control!$B$17+Control!$B$8+1-N147,G147)-B147/100000</x:f>
        <x:v>77.13083725220397</x:v>
      </x:c>
      <x:c r="P147" s="73" t="n">
        <x:f>COUNTIF($O$146:$O$151,"&gt;"&amp;O147)+1</x:f>
        <x:v>1</x:v>
      </x:c>
      <x:c r="Q147" s="83" t="n">
        <x:f>MAX($G$146:$G$151)-G147</x:f>
        <x:v>0</x:v>
      </x:c>
      <x:c r="R147" s="73" t="str">
        <x:f>INDEX(TrackMap!$B$8:$B$141,H147)</x:f>
        <x:v>东侧发卡弯</x:v>
      </x:c>
    </x:row>
    <x:row r="148" ht="20" customHeight="1">
      <x:c r="A148" s="73" t="n">
        <x:v>23</x:v>
      </x:c>
      <x:c r="B148" s="73" t="n">
        <x:v>3</x:v>
      </x:c>
      <x:c r="C148" s="73" t="str">
        <x:f>INDEX(Drivers!$B$8:$B$13,B148)</x:f>
        <x:v>金翼</x:v>
      </x:c>
      <x:c r="D148" s="83" t="n">
        <x:f>G142</x:f>
        <x:v>71.52804045712199</x:v>
      </x:c>
      <x:c r="E148" s="83" t="str">
        <x:f>IF(A148=0,"GRID",IF(D148&gt;=Control!$B$17,"FINISHED",IF(AND(A148&gt;=INDEX(Drivers!$G$8:$G$13,B148),A148&lt;INDEX(Drivers!$G$8:$G$13,B148)+INDEX(Drivers!$J$8:$J$13,B148)),"PIT",IF(MOD(A148+INDEX(Drivers!$F$8:$F$13,B148),Control!$B$11)&lt;Control!$B$13,"BOOST","RACE"))))</x:f>
        <x:v>RACE</x:v>
      </x:c>
      <x:c r="F148" s="83" t="n">
        <x:f>IF(OR(E148="GRID",E148="FINISHED",E148="PIT"),0,MAX(Control!$B$15,(INDEX(Drivers!$D$8:$D$13,B148)+INDEX(Drivers!$E$8:$E$13,B148)*SIN((A148+INDEX(Drivers!$F$8:$F$13,B148)+Control!$B$16)*Control!$B$14))*INDEX(TrackMap!$M$8:$M$141,MOD(INT(D148)-1,Control!$B$7)+1)*IF(E148="BOOST",Control!$B$12,1)))</x:f>
        <x:v>2.893972635198577</x:v>
      </x:c>
      <x:c r="G148" s="83" t="n">
        <x:f>IF(A148=0,D148,MIN(Control!$B$17,D148+F148))</x:f>
        <x:v>74.42201309232057</x:v>
      </x:c>
      <x:c r="H148" s="73" t="n">
        <x:f>MOD(INT(G148)-1,Control!$B$7)+1</x:f>
        <x:v>74</x:v>
      </x:c>
      <x:c r="I148" s="73" t="n">
        <x:f>MIN(Control!$B$6,MAX(1,INT(MAX(0,G148)/Control!$B$7)+1))</x:f>
        <x:v>1</x:v>
      </x:c>
      <x:c r="J148" s="73" t="n">
        <x:f>INDEX(Drivers!$H$8:$H$13,B148)</x:f>
        <x:v>1</x:v>
      </x:c>
      <x:c r="K148" s="73" t="n">
        <x:f>IF(J148=1,INDEX(TrackMap!$I$8:$I$141,H148),INDEX(TrackMap!$L$8:$L$141,H148))</x:f>
        <x:v>1246</x:v>
      </x:c>
      <x:c r="L148" s="73" t="str">
        <x:f>INDEX(TrackMap!$F$8:$F$141,H148)</x:f>
        <x:v>↑</x:v>
      </x:c>
      <x:c r="M148" s="87" t="n">
        <x:f>MAX(0,G148/Control!$B$17)</x:f>
        <x:v>0.11107763148107548</x:v>
      </x:c>
      <x:c r="N148" s="73" t="n">
        <x:f>IF(N142&gt;0,N142,IF(G148&gt;=Control!$B$17,A148,0))</x:f>
        <x:v>0</x:v>
      </x:c>
      <x:c r="O148" s="91" t="n">
        <x:f>IF(N148&gt;0,Control!$B$17+Control!$B$8+1-N148,G148)-B148/100000</x:f>
        <x:v>74.42198309232057</x:v>
      </x:c>
      <x:c r="P148" s="73" t="n">
        <x:f>COUNTIF($O$146:$O$151,"&gt;"&amp;O148)+1</x:f>
        <x:v>4</x:v>
      </x:c>
      <x:c r="Q148" s="83" t="n">
        <x:f>MAX($G$146:$G$151)-G148</x:f>
        <x:v>2.7088441598834123</x:v>
      </x:c>
      <x:c r="R148" s="73" t="str">
        <x:f>INDEX(TrackMap!$B$8:$B$141,H148)</x:f>
        <x:v>东侧上行弯</x:v>
      </x:c>
    </x:row>
    <x:row r="149" ht="20" customHeight="1">
      <x:c r="A149" s="73" t="n">
        <x:v>23</x:v>
      </x:c>
      <x:c r="B149" s="73" t="n">
        <x:v>4</x:v>
      </x:c>
      <x:c r="C149" s="73" t="str">
        <x:f>INDEX(Drivers!$B$8:$B$13,B149)</x:f>
        <x:v>紫影</x:v>
      </x:c>
      <x:c r="D149" s="83" t="n">
        <x:f>G143</x:f>
        <x:v>73.88231002836991</x:v>
      </x:c>
      <x:c r="E149" s="83" t="str">
        <x:f>IF(A149=0,"GRID",IF(D149&gt;=Control!$B$17,"FINISHED",IF(AND(A149&gt;=INDEX(Drivers!$G$8:$G$13,B149),A149&lt;INDEX(Drivers!$G$8:$G$13,B149)+INDEX(Drivers!$J$8:$J$13,B149)),"PIT",IF(MOD(A149+INDEX(Drivers!$F$8:$F$13,B149),Control!$B$11)&lt;Control!$B$13,"BOOST","RACE"))))</x:f>
        <x:v>RACE</x:v>
      </x:c>
      <x:c r="F149" s="83" t="n">
        <x:f>IF(OR(E149="GRID",E149="FINISHED",E149="PIT"),0,MAX(Control!$B$15,(INDEX(Drivers!$D$8:$D$13,B149)+INDEX(Drivers!$E$8:$E$13,B149)*SIN((A149+INDEX(Drivers!$F$8:$F$13,B149)+Control!$B$16)*Control!$B$14))*INDEX(TrackMap!$M$8:$M$141,MOD(INT(D149)-1,Control!$B$7)+1)*IF(E149="BOOST",Control!$B$12,1)))</x:f>
        <x:v>3.0371514604378405</x:v>
      </x:c>
      <x:c r="G149" s="83" t="n">
        <x:f>IF(A149=0,D149,MIN(Control!$B$17,D149+F149))</x:f>
        <x:v>76.91946148880776</x:v>
      </x:c>
      <x:c r="H149" s="73" t="n">
        <x:f>MOD(INT(G149)-1,Control!$B$7)+1</x:f>
        <x:v>76</x:v>
      </x:c>
      <x:c r="I149" s="73" t="n">
        <x:f>MIN(Control!$B$6,MAX(1,INT(MAX(0,G149)/Control!$B$7)+1))</x:f>
        <x:v>1</x:v>
      </x:c>
      <x:c r="J149" s="73" t="n">
        <x:f>INDEX(Drivers!$H$8:$H$13,B149)</x:f>
        <x:v>2</x:v>
      </x:c>
      <x:c r="K149" s="73" t="n">
        <x:f>IF(J149=1,INDEX(TrackMap!$I$8:$I$141,H149),INDEX(TrackMap!$L$8:$L$141,H149))</x:f>
        <x:v>1045</x:v>
      </x:c>
      <x:c r="L149" s="73" t="str">
        <x:f>INDEX(TrackMap!$F$8:$F$141,H149)</x:f>
        <x:v>↑</x:v>
      </x:c>
      <x:c r="M149" s="87" t="n">
        <x:f>MAX(0,G149/Control!$B$17)</x:f>
        <x:v>0.11480516640120561</x:v>
      </x:c>
      <x:c r="N149" s="73" t="n">
        <x:f>IF(N143&gt;0,N143,IF(G149&gt;=Control!$B$17,A149,0))</x:f>
        <x:v>0</x:v>
      </x:c>
      <x:c r="O149" s="91" t="n">
        <x:f>IF(N149&gt;0,Control!$B$17+Control!$B$8+1-N149,G149)-B149/100000</x:f>
        <x:v>76.91942148880776</x:v>
      </x:c>
      <x:c r="P149" s="73" t="n">
        <x:f>COUNTIF($O$146:$O$151,"&gt;"&amp;O149)+1</x:f>
        <x:v>2</x:v>
      </x:c>
      <x:c r="Q149" s="83" t="n">
        <x:f>MAX($G$146:$G$151)-G149</x:f>
        <x:v>0.2113957633962258</x:v>
      </x:c>
      <x:c r="R149" s="73" t="str">
        <x:f>INDEX(TrackMap!$B$8:$B$141,H149)</x:f>
        <x:v>东侧上行弯</x:v>
      </x:c>
    </x:row>
    <x:row r="150" ht="20" customHeight="1">
      <x:c r="A150" s="73" t="n">
        <x:v>23</x:v>
      </x:c>
      <x:c r="B150" s="73" t="n">
        <x:v>5</x:v>
      </x:c>
      <x:c r="C150" s="73" t="str">
        <x:f>INDEX(Drivers!$B$8:$B$13,B150)</x:f>
        <x:v>青锋</x:v>
      </x:c>
      <x:c r="D150" s="83" t="n">
        <x:f>G144</x:f>
        <x:v>67.06014631677424</x:v>
      </x:c>
      <x:c r="E150" s="83" t="str">
        <x:f>IF(A150=0,"GRID",IF(D150&gt;=Control!$B$17,"FINISHED",IF(AND(A150&gt;=INDEX(Drivers!$G$8:$G$13,B150),A150&lt;INDEX(Drivers!$G$8:$G$13,B150)+INDEX(Drivers!$J$8:$J$13,B150)),"PIT",IF(MOD(A150+INDEX(Drivers!$F$8:$F$13,B150),Control!$B$11)&lt;Control!$B$13,"BOOST","RACE"))))</x:f>
        <x:v>RACE</x:v>
      </x:c>
      <x:c r="F150" s="83" t="n">
        <x:f>IF(OR(E150="GRID",E150="FINISHED",E150="PIT"),0,MAX(Control!$B$15,(INDEX(Drivers!$D$8:$D$13,B150)+INDEX(Drivers!$E$8:$E$13,B150)*SIN((A150+INDEX(Drivers!$F$8:$F$13,B150)+Control!$B$16)*Control!$B$14))*INDEX(TrackMap!$M$8:$M$141,MOD(INT(D150)-1,Control!$B$7)+1)*IF(E150="BOOST",Control!$B$12,1)))</x:f>
        <x:v>3.8964417619292595</x:v>
      </x:c>
      <x:c r="G150" s="83" t="n">
        <x:f>IF(A150=0,D150,MIN(Control!$B$17,D150+F150))</x:f>
        <x:v>70.95658807870349</x:v>
      </x:c>
      <x:c r="H150" s="73" t="n">
        <x:f>MOD(INT(G150)-1,Control!$B$7)+1</x:f>
        <x:v>70</x:v>
      </x:c>
      <x:c r="I150" s="73" t="n">
        <x:f>MIN(Control!$B$6,MAX(1,INT(MAX(0,G150)/Control!$B$7)+1))</x:f>
        <x:v>1</x:v>
      </x:c>
      <x:c r="J150" s="73" t="n">
        <x:f>INDEX(Drivers!$H$8:$H$13,B150)</x:f>
        <x:v>1</x:v>
      </x:c>
      <x:c r="K150" s="73" t="n">
        <x:f>IF(J150=1,INDEX(TrackMap!$I$8:$I$141,H150),INDEX(TrackMap!$L$8:$L$141,H150))</x:f>
        <x:v>1643</x:v>
      </x:c>
      <x:c r="L150" s="73" t="str">
        <x:f>INDEX(TrackMap!$F$8:$F$141,H150)</x:f>
        <x:v>→</x:v>
      </x:c>
      <x:c r="M150" s="87" t="n">
        <x:f>MAX(0,G150/Control!$B$17)</x:f>
        <x:v>0.1059053553413485</x:v>
      </x:c>
      <x:c r="N150" s="73" t="n">
        <x:f>IF(N144&gt;0,N144,IF(G150&gt;=Control!$B$17,A150,0))</x:f>
        <x:v>0</x:v>
      </x:c>
      <x:c r="O150" s="91" t="n">
        <x:f>IF(N150&gt;0,Control!$B$17+Control!$B$8+1-N150,G150)-B150/100000</x:f>
        <x:v>70.95653807870349</x:v>
      </x:c>
      <x:c r="P150" s="73" t="n">
        <x:f>COUNTIF($O$146:$O$151,"&gt;"&amp;O150)+1</x:f>
        <x:v>6</x:v>
      </x:c>
      <x:c r="Q150" s="83" t="n">
        <x:f>MAX($G$146:$G$151)-G150</x:f>
        <x:v>6.174269173500491</x:v>
      </x:c>
      <x:c r="R150" s="73" t="str">
        <x:f>INDEX(TrackMap!$B$8:$B$141,H150)</x:f>
        <x:v>中央高速直道</x:v>
      </x:c>
    </x:row>
    <x:row r="151" ht="20" customHeight="1">
      <x:c r="A151" s="73" t="n">
        <x:v>23</x:v>
      </x:c>
      <x:c r="B151" s="73" t="n">
        <x:v>6</x:v>
      </x:c>
      <x:c r="C151" s="73" t="str">
        <x:f>INDEX(Drivers!$B$8:$B$13,B151)</x:f>
        <x:v>玫速</x:v>
      </x:c>
      <x:c r="D151" s="83" t="n">
        <x:f>G145</x:f>
        <x:v>67.86976523057913</x:v>
      </x:c>
      <x:c r="E151" s="83" t="str">
        <x:f>IF(A151=0,"GRID",IF(D151&gt;=Control!$B$17,"FINISHED",IF(AND(A151&gt;=INDEX(Drivers!$G$8:$G$13,B151),A151&lt;INDEX(Drivers!$G$8:$G$13,B151)+INDEX(Drivers!$J$8:$J$13,B151)),"PIT",IF(MOD(A151+INDEX(Drivers!$F$8:$F$13,B151),Control!$B$11)&lt;Control!$B$13,"BOOST","RACE"))))</x:f>
        <x:v>RACE</x:v>
      </x:c>
      <x:c r="F151" s="83" t="n">
        <x:f>IF(OR(E151="GRID",E151="FINISHED",E151="PIT"),0,MAX(Control!$B$15,(INDEX(Drivers!$D$8:$D$13,B151)+INDEX(Drivers!$E$8:$E$13,B151)*SIN((A151+INDEX(Drivers!$F$8:$F$13,B151)+Control!$B$16)*Control!$B$14))*INDEX(TrackMap!$M$8:$M$141,MOD(INT(D151)-1,Control!$B$7)+1)*IF(E151="BOOST",Control!$B$12,1)))</x:f>
        <x:v>3.1481471316546563</x:v>
      </x:c>
      <x:c r="G151" s="83" t="n">
        <x:f>IF(A151=0,D151,MIN(Control!$B$17,D151+F151))</x:f>
        <x:v>71.01791236223379</x:v>
      </x:c>
      <x:c r="H151" s="73" t="n">
        <x:f>MOD(INT(G151)-1,Control!$B$7)+1</x:f>
        <x:v>71</x:v>
      </x:c>
      <x:c r="I151" s="73" t="n">
        <x:f>MIN(Control!$B$6,MAX(1,INT(MAX(0,G151)/Control!$B$7)+1))</x:f>
        <x:v>1</x:v>
      </x:c>
      <x:c r="J151" s="73" t="n">
        <x:f>INDEX(Drivers!$H$8:$H$13,B151)</x:f>
        <x:v>2</x:v>
      </x:c>
      <x:c r="K151" s="73" t="n">
        <x:f>IF(J151=1,INDEX(TrackMap!$I$8:$I$141,H151),INDEX(TrackMap!$L$8:$L$141,H151))</x:f>
        <x:v>1544</x:v>
      </x:c>
      <x:c r="L151" s="73" t="str">
        <x:f>INDEX(TrackMap!$F$8:$F$141,H151)</x:f>
        <x:v>→</x:v>
      </x:c>
      <x:c r="M151" s="87" t="n">
        <x:f>MAX(0,G151/Control!$B$17)</x:f>
        <x:v>0.105996884122737</x:v>
      </x:c>
      <x:c r="N151" s="73" t="n">
        <x:f>IF(N145&gt;0,N145,IF(G151&gt;=Control!$B$17,A151,0))</x:f>
        <x:v>0</x:v>
      </x:c>
      <x:c r="O151" s="91" t="n">
        <x:f>IF(N151&gt;0,Control!$B$17+Control!$B$8+1-N151,G151)-B151/100000</x:f>
        <x:v>71.01785236223378</x:v>
      </x:c>
      <x:c r="P151" s="73" t="n">
        <x:f>COUNTIF($O$146:$O$151,"&gt;"&amp;O151)+1</x:f>
        <x:v>5</x:v>
      </x:c>
      <x:c r="Q151" s="83" t="n">
        <x:f>MAX($G$146:$G$151)-G151</x:f>
        <x:v>6.112944889970194</x:v>
      </x:c>
      <x:c r="R151" s="73" t="str">
        <x:f>INDEX(TrackMap!$B$8:$B$141,H151)</x:f>
        <x:v>中央高速直道</x:v>
      </x:c>
    </x:row>
    <x:row r="152" ht="20" customHeight="1">
      <x:c r="A152" s="73" t="n">
        <x:v>24</x:v>
      </x:c>
      <x:c r="B152" s="73" t="n">
        <x:v>1</x:v>
      </x:c>
      <x:c r="C152" s="73" t="str">
        <x:f>INDEX(Drivers!$B$8:$B$13,B152)</x:f>
        <x:v>赤焰</x:v>
      </x:c>
      <x:c r="D152" s="83" t="n">
        <x:f>G146</x:f>
        <x:v>75.46012039136855</x:v>
      </x:c>
      <x:c r="E152" s="83" t="str">
        <x:f>IF(A152=0,"GRID",IF(D152&gt;=Control!$B$17,"FINISHED",IF(AND(A152&gt;=INDEX(Drivers!$G$8:$G$13,B152),A152&lt;INDEX(Drivers!$G$8:$G$13,B152)+INDEX(Drivers!$J$8:$J$13,B152)),"PIT",IF(MOD(A152+INDEX(Drivers!$F$8:$F$13,B152),Control!$B$11)&lt;Control!$B$13,"BOOST","RACE"))))</x:f>
        <x:v>RACE</x:v>
      </x:c>
      <x:c r="F152" s="83" t="n">
        <x:f>IF(OR(E152="GRID",E152="FINISHED",E152="PIT"),0,MAX(Control!$B$15,(INDEX(Drivers!$D$8:$D$13,B152)+INDEX(Drivers!$E$8:$E$13,B152)*SIN((A152+INDEX(Drivers!$F$8:$F$13,B152)+Control!$B$16)*Control!$B$14))*INDEX(TrackMap!$M$8:$M$141,MOD(INT(D152)-1,Control!$B$7)+1)*IF(E152="BOOST",Control!$B$12,1)))</x:f>
        <x:v>3.2747233426567535</x:v>
      </x:c>
      <x:c r="G152" s="83" t="n">
        <x:f>IF(A152=0,D152,MIN(Control!$B$17,D152+F152))</x:f>
        <x:v>78.7348437340253</x:v>
      </x:c>
      <x:c r="H152" s="73" t="n">
        <x:f>MOD(INT(G152)-1,Control!$B$7)+1</x:f>
        <x:v>78</x:v>
      </x:c>
      <x:c r="I152" s="73" t="n">
        <x:f>MIN(Control!$B$6,MAX(1,INT(MAX(0,G152)/Control!$B$7)+1))</x:f>
        <x:v>1</x:v>
      </x:c>
      <x:c r="J152" s="73" t="n">
        <x:f>INDEX(Drivers!$H$8:$H$13,B152)</x:f>
        <x:v>1</x:v>
      </x:c>
      <x:c r="K152" s="73" t="n">
        <x:f>IF(J152=1,INDEX(TrackMap!$I$8:$I$141,H152),INDEX(TrackMap!$L$8:$L$141,H152))</x:f>
        <x:v>847</x:v>
      </x:c>
      <x:c r="L152" s="73" t="str">
        <x:f>INDEX(TrackMap!$F$8:$F$141,H152)</x:f>
        <x:v>→</x:v>
      </x:c>
      <x:c r="M152" s="87" t="n">
        <x:f>MAX(0,G152/Control!$B$17)</x:f>
        <x:v>0.11751469214033627</x:v>
      </x:c>
      <x:c r="N152" s="73" t="n">
        <x:f>IF(N146&gt;0,N146,IF(G152&gt;=Control!$B$17,A152,0))</x:f>
        <x:v>0</x:v>
      </x:c>
      <x:c r="O152" s="91" t="n">
        <x:f>IF(N152&gt;0,Control!$B$17+Control!$B$8+1-N152,G152)-B152/100000</x:f>
        <x:v>78.7348337340253</x:v>
      </x:c>
      <x:c r="P152" s="73" t="n">
        <x:f>COUNTIF($O$152:$O$157,"&gt;"&amp;O152)+1</x:f>
        <x:v>3</x:v>
      </x:c>
      <x:c r="Q152" s="83" t="n">
        <x:f>MAX($G$152:$G$157)-G152</x:f>
        <x:v>1.6547804255823308</x:v>
      </x:c>
      <x:c r="R152" s="73" t="str">
        <x:f>INDEX(TrackMap!$B$8:$B$141,H152)</x:f>
        <x:v>东侧发卡弯</x:v>
      </x:c>
    </x:row>
    <x:row r="153" ht="20" customHeight="1">
      <x:c r="A153" s="73" t="n">
        <x:v>24</x:v>
      </x:c>
      <x:c r="B153" s="73" t="n">
        <x:v>2</x:v>
      </x:c>
      <x:c r="C153" s="73" t="str">
        <x:f>INDEX(Drivers!$B$8:$B$13,B153)</x:f>
        <x:v>蓝电</x:v>
      </x:c>
      <x:c r="D153" s="83" t="n">
        <x:f>G147</x:f>
        <x:v>77.13085725220398</x:v>
      </x:c>
      <x:c r="E153" s="83" t="str">
        <x:f>IF(A153=0,"GRID",IF(D153&gt;=Control!$B$17,"FINISHED",IF(AND(A153&gt;=INDEX(Drivers!$G$8:$G$13,B153),A153&lt;INDEX(Drivers!$G$8:$G$13,B153)+INDEX(Drivers!$J$8:$J$13,B153)),"PIT",IF(MOD(A153+INDEX(Drivers!$F$8:$F$13,B153),Control!$B$11)&lt;Control!$B$13,"BOOST","RACE"))))</x:f>
        <x:v>BOOST</x:v>
      </x:c>
      <x:c r="F153" s="83" t="n">
        <x:f>IF(OR(E153="GRID",E153="FINISHED",E153="PIT"),0,MAX(Control!$B$15,(INDEX(Drivers!$D$8:$D$13,B153)+INDEX(Drivers!$E$8:$E$13,B153)*SIN((A153+INDEX(Drivers!$F$8:$F$13,B153)+Control!$B$16)*Control!$B$14))*INDEX(TrackMap!$M$8:$M$141,MOD(INT(D153)-1,Control!$B$7)+1)*IF(E153="BOOST",Control!$B$12,1)))</x:f>
        <x:v>3.2587669074036536</x:v>
      </x:c>
      <x:c r="G153" s="83" t="n">
        <x:f>IF(A153=0,D153,MIN(Control!$B$17,D153+F153))</x:f>
        <x:v>80.38962415960764</x:v>
      </x:c>
      <x:c r="H153" s="73" t="n">
        <x:f>MOD(INT(G153)-1,Control!$B$7)+1</x:f>
        <x:v>80</x:v>
      </x:c>
      <x:c r="I153" s="73" t="n">
        <x:f>MIN(Control!$B$6,MAX(1,INT(MAX(0,G153)/Control!$B$7)+1))</x:f>
        <x:v>1</x:v>
      </x:c>
      <x:c r="J153" s="73" t="n">
        <x:f>INDEX(Drivers!$H$8:$H$13,B153)</x:f>
        <x:v>2</x:v>
      </x:c>
      <x:c r="K153" s="73" t="n">
        <x:f>IF(J153=1,INDEX(TrackMap!$I$8:$I$141,H153),INDEX(TrackMap!$L$8:$L$141,H153))</x:f>
        <x:v>949</x:v>
      </x:c>
      <x:c r="L153" s="73" t="str">
        <x:f>INDEX(TrackMap!$F$8:$F$141,H153)</x:f>
        <x:v>→</x:v>
      </x:c>
      <x:c r="M153" s="87" t="n">
        <x:f>MAX(0,G153/Control!$B$17)</x:f>
        <x:v>0.11998451367105617</x:v>
      </x:c>
      <x:c r="N153" s="73" t="n">
        <x:f>IF(N147&gt;0,N147,IF(G153&gt;=Control!$B$17,A153,0))</x:f>
        <x:v>0</x:v>
      </x:c>
      <x:c r="O153" s="91" t="n">
        <x:f>IF(N153&gt;0,Control!$B$17+Control!$B$8+1-N153,G153)-B153/100000</x:f>
        <x:v>80.38960415960763</x:v>
      </x:c>
      <x:c r="P153" s="73" t="n">
        <x:f>COUNTIF($O$152:$O$157,"&gt;"&amp;O153)+1</x:f>
        <x:v>1</x:v>
      </x:c>
      <x:c r="Q153" s="83" t="n">
        <x:f>MAX($G$152:$G$157)-G153</x:f>
        <x:v>0</x:v>
      </x:c>
      <x:c r="R153" s="73" t="str">
        <x:f>INDEX(TrackMap!$B$8:$B$141,H153)</x:f>
        <x:v>东侧发卡弯</x:v>
      </x:c>
    </x:row>
    <x:row r="154" ht="20" customHeight="1">
      <x:c r="A154" s="73" t="n">
        <x:v>24</x:v>
      </x:c>
      <x:c r="B154" s="73" t="n">
        <x:v>3</x:v>
      </x:c>
      <x:c r="C154" s="73" t="str">
        <x:f>INDEX(Drivers!$B$8:$B$13,B154)</x:f>
        <x:v>金翼</x:v>
      </x:c>
      <x:c r="D154" s="83" t="n">
        <x:f>G148</x:f>
        <x:v>74.42201309232057</x:v>
      </x:c>
      <x:c r="E154" s="83" t="str">
        <x:f>IF(A154=0,"GRID",IF(D154&gt;=Control!$B$17,"FINISHED",IF(AND(A154&gt;=INDEX(Drivers!$G$8:$G$13,B154),A154&lt;INDEX(Drivers!$G$8:$G$13,B154)+INDEX(Drivers!$J$8:$J$13,B154)),"PIT",IF(MOD(A154+INDEX(Drivers!$F$8:$F$13,B154),Control!$B$11)&lt;Control!$B$13,"BOOST","RACE"))))</x:f>
        <x:v>RACE</x:v>
      </x:c>
      <x:c r="F154" s="83" t="n">
        <x:f>IF(OR(E154="GRID",E154="FINISHED",E154="PIT"),0,MAX(Control!$B$15,(INDEX(Drivers!$D$8:$D$13,B154)+INDEX(Drivers!$E$8:$E$13,B154)*SIN((A154+INDEX(Drivers!$F$8:$F$13,B154)+Control!$B$16)*Control!$B$14))*INDEX(TrackMap!$M$8:$M$141,MOD(INT(D154)-1,Control!$B$7)+1)*IF(E154="BOOST",Control!$B$12,1)))</x:f>
        <x:v>3.034433652827496</x:v>
      </x:c>
      <x:c r="G154" s="83" t="n">
        <x:f>IF(A154=0,D154,MIN(Control!$B$17,D154+F154))</x:f>
        <x:v>77.45644674514807</x:v>
      </x:c>
      <x:c r="H154" s="73" t="n">
        <x:f>MOD(INT(G154)-1,Control!$B$7)+1</x:f>
        <x:v>77</x:v>
      </x:c>
      <x:c r="I154" s="73" t="n">
        <x:f>MIN(Control!$B$6,MAX(1,INT(MAX(0,G154)/Control!$B$7)+1))</x:f>
        <x:v>1</x:v>
      </x:c>
      <x:c r="J154" s="73" t="n">
        <x:f>INDEX(Drivers!$H$8:$H$13,B154)</x:f>
        <x:v>1</x:v>
      </x:c>
      <x:c r="K154" s="73" t="n">
        <x:f>IF(J154=1,INDEX(TrackMap!$I$8:$I$141,H154),INDEX(TrackMap!$L$8:$L$141,H154))</x:f>
        <x:v>846</x:v>
      </x:c>
      <x:c r="L154" s="73" t="str">
        <x:f>INDEX(TrackMap!$F$8:$F$141,H154)</x:f>
        <x:v>→</x:v>
      </x:c>
      <x:c r="M154" s="87" t="n">
        <x:f>MAX(0,G154/Control!$B$17)</x:f>
        <x:v>0.11560663693305682</x:v>
      </x:c>
      <x:c r="N154" s="73" t="n">
        <x:f>IF(N148&gt;0,N148,IF(G154&gt;=Control!$B$17,A154,0))</x:f>
        <x:v>0</x:v>
      </x:c>
      <x:c r="O154" s="91" t="n">
        <x:f>IF(N154&gt;0,Control!$B$17+Control!$B$8+1-N154,G154)-B154/100000</x:f>
        <x:v>77.45641674514808</x:v>
      </x:c>
      <x:c r="P154" s="73" t="n">
        <x:f>COUNTIF($O$152:$O$157,"&gt;"&amp;O154)+1</x:f>
        <x:v>4</x:v>
      </x:c>
      <x:c r="Q154" s="83" t="n">
        <x:f>MAX($G$152:$G$157)-G154</x:f>
        <x:v>2.933177414459564</x:v>
      </x:c>
      <x:c r="R154" s="73" t="str">
        <x:f>INDEX(TrackMap!$B$8:$B$141,H154)</x:f>
        <x:v>东侧发卡弯</x:v>
      </x:c>
    </x:row>
    <x:row r="155" ht="20" customHeight="1">
      <x:c r="A155" s="73" t="n">
        <x:v>24</x:v>
      </x:c>
      <x:c r="B155" s="73" t="n">
        <x:v>4</x:v>
      </x:c>
      <x:c r="C155" s="73" t="str">
        <x:f>INDEX(Drivers!$B$8:$B$13,B155)</x:f>
        <x:v>紫影</x:v>
      </x:c>
      <x:c r="D155" s="83" t="n">
        <x:f>G149</x:f>
        <x:v>76.91946148880776</x:v>
      </x:c>
      <x:c r="E155" s="83" t="str">
        <x:f>IF(A155=0,"GRID",IF(D155&gt;=Control!$B$17,"FINISHED",IF(AND(A155&gt;=INDEX(Drivers!$G$8:$G$13,B155),A155&lt;INDEX(Drivers!$G$8:$G$13,B155)+INDEX(Drivers!$J$8:$J$13,B155)),"PIT",IF(MOD(A155+INDEX(Drivers!$F$8:$F$13,B155),Control!$B$11)&lt;Control!$B$13,"BOOST","RACE"))))</x:f>
        <x:v>RACE</x:v>
      </x:c>
      <x:c r="F155" s="83" t="n">
        <x:f>IF(OR(E155="GRID",E155="FINISHED",E155="PIT"),0,MAX(Control!$B$15,(INDEX(Drivers!$D$8:$D$13,B155)+INDEX(Drivers!$E$8:$E$13,B155)*SIN((A155+INDEX(Drivers!$F$8:$F$13,B155)+Control!$B$16)*Control!$B$14))*INDEX(TrackMap!$M$8:$M$141,MOD(INT(D155)-1,Control!$B$7)+1)*IF(E155="BOOST",Control!$B$12,1)))</x:f>
        <x:v>2.8805884875056207</x:v>
      </x:c>
      <x:c r="G155" s="83" t="n">
        <x:f>IF(A155=0,D155,MIN(Control!$B$17,D155+F155))</x:f>
        <x:v>79.80004997631337</x:v>
      </x:c>
      <x:c r="H155" s="73" t="n">
        <x:f>MOD(INT(G155)-1,Control!$B$7)+1</x:f>
        <x:v>79</x:v>
      </x:c>
      <x:c r="I155" s="73" t="n">
        <x:f>MIN(Control!$B$6,MAX(1,INT(MAX(0,G155)/Control!$B$7)+1))</x:f>
        <x:v>1</x:v>
      </x:c>
      <x:c r="J155" s="73" t="n">
        <x:f>INDEX(Drivers!$H$8:$H$13,B155)</x:f>
        <x:v>2</x:v>
      </x:c>
      <x:c r="K155" s="73" t="n">
        <x:f>IF(J155=1,INDEX(TrackMap!$I$8:$I$141,H155),INDEX(TrackMap!$L$8:$L$141,H155))</x:f>
        <x:v>948</x:v>
      </x:c>
      <x:c r="L155" s="73" t="str">
        <x:f>INDEX(TrackMap!$F$8:$F$141,H155)</x:f>
        <x:v>→</x:v>
      </x:c>
      <x:c r="M155" s="87" t="n">
        <x:f>MAX(0,G155/Control!$B$17)</x:f>
        <x:v>0.1191045522034528</x:v>
      </x:c>
      <x:c r="N155" s="73" t="n">
        <x:f>IF(N149&gt;0,N149,IF(G155&gt;=Control!$B$17,A155,0))</x:f>
        <x:v>0</x:v>
      </x:c>
      <x:c r="O155" s="91" t="n">
        <x:f>IF(N155&gt;0,Control!$B$17+Control!$B$8+1-N155,G155)-B155/100000</x:f>
        <x:v>79.80000997631338</x:v>
      </x:c>
      <x:c r="P155" s="73" t="n">
        <x:f>COUNTIF($O$152:$O$157,"&gt;"&amp;O155)+1</x:f>
        <x:v>2</x:v>
      </x:c>
      <x:c r="Q155" s="83" t="n">
        <x:f>MAX($G$152:$G$157)-G155</x:f>
        <x:v>0.5895741832942605</x:v>
      </x:c>
      <x:c r="R155" s="73" t="str">
        <x:f>INDEX(TrackMap!$B$8:$B$141,H155)</x:f>
        <x:v>东侧发卡弯</x:v>
      </x:c>
    </x:row>
    <x:row r="156" ht="20" customHeight="1">
      <x:c r="A156" s="73" t="n">
        <x:v>24</x:v>
      </x:c>
      <x:c r="B156" s="73" t="n">
        <x:v>5</x:v>
      </x:c>
      <x:c r="C156" s="73" t="str">
        <x:f>INDEX(Drivers!$B$8:$B$13,B156)</x:f>
        <x:v>青锋</x:v>
      </x:c>
      <x:c r="D156" s="83" t="n">
        <x:f>G150</x:f>
        <x:v>70.95658807870349</x:v>
      </x:c>
      <x:c r="E156" s="83" t="str">
        <x:f>IF(A156=0,"GRID",IF(D156&gt;=Control!$B$17,"FINISHED",IF(AND(A156&gt;=INDEX(Drivers!$G$8:$G$13,B156),A156&lt;INDEX(Drivers!$G$8:$G$13,B156)+INDEX(Drivers!$J$8:$J$13,B156)),"PIT",IF(MOD(A156+INDEX(Drivers!$F$8:$F$13,B156),Control!$B$11)&lt;Control!$B$13,"BOOST","RACE"))))</x:f>
        <x:v>BOOST</x:v>
      </x:c>
      <x:c r="F156" s="83" t="n">
        <x:f>IF(OR(E156="GRID",E156="FINISHED",E156="PIT"),0,MAX(Control!$B$15,(INDEX(Drivers!$D$8:$D$13,B156)+INDEX(Drivers!$E$8:$E$13,B156)*SIN((A156+INDEX(Drivers!$F$8:$F$13,B156)+Control!$B$16)*Control!$B$14))*INDEX(TrackMap!$M$8:$M$141,MOD(INT(D156)-1,Control!$B$7)+1)*IF(E156="BOOST",Control!$B$12,1)))</x:f>
        <x:v>3.9139281390139344</x:v>
      </x:c>
      <x:c r="G156" s="83" t="n">
        <x:f>IF(A156=0,D156,MIN(Control!$B$17,D156+F156))</x:f>
        <x:v>74.87051621771742</x:v>
      </x:c>
      <x:c r="H156" s="73" t="n">
        <x:f>MOD(INT(G156)-1,Control!$B$7)+1</x:f>
        <x:v>74</x:v>
      </x:c>
      <x:c r="I156" s="73" t="n">
        <x:f>MIN(Control!$B$6,MAX(1,INT(MAX(0,G156)/Control!$B$7)+1))</x:f>
        <x:v>1</x:v>
      </x:c>
      <x:c r="J156" s="73" t="n">
        <x:f>INDEX(Drivers!$H$8:$H$13,B156)</x:f>
        <x:v>1</x:v>
      </x:c>
      <x:c r="K156" s="73" t="n">
        <x:f>IF(J156=1,INDEX(TrackMap!$I$8:$I$141,H156),INDEX(TrackMap!$L$8:$L$141,H156))</x:f>
        <x:v>1246</x:v>
      </x:c>
      <x:c r="L156" s="73" t="str">
        <x:f>INDEX(TrackMap!$F$8:$F$141,H156)</x:f>
        <x:v>↑</x:v>
      </x:c>
      <x:c r="M156" s="87" t="n">
        <x:f>MAX(0,G156/Control!$B$17)</x:f>
        <x:v>0.11174703913092153</x:v>
      </x:c>
      <x:c r="N156" s="73" t="n">
        <x:f>IF(N150&gt;0,N150,IF(G156&gt;=Control!$B$17,A156,0))</x:f>
        <x:v>0</x:v>
      </x:c>
      <x:c r="O156" s="91" t="n">
        <x:f>IF(N156&gt;0,Control!$B$17+Control!$B$8+1-N156,G156)-B156/100000</x:f>
        <x:v>74.87046621771742</x:v>
      </x:c>
      <x:c r="P156" s="73" t="n">
        <x:f>COUNTIF($O$152:$O$157,"&gt;"&amp;O156)+1</x:f>
        <x:v>5</x:v>
      </x:c>
      <x:c r="Q156" s="83" t="n">
        <x:f>MAX($G$152:$G$157)-G156</x:f>
        <x:v>5.519107941890212</x:v>
      </x:c>
      <x:c r="R156" s="73" t="str">
        <x:f>INDEX(TrackMap!$B$8:$B$141,H156)</x:f>
        <x:v>东侧上行弯</x:v>
      </x:c>
    </x:row>
    <x:row r="157" ht="20" customHeight="1">
      <x:c r="A157" s="73" t="n">
        <x:v>24</x:v>
      </x:c>
      <x:c r="B157" s="73" t="n">
        <x:v>6</x:v>
      </x:c>
      <x:c r="C157" s="73" t="str">
        <x:f>INDEX(Drivers!$B$8:$B$13,B157)</x:f>
        <x:v>玫速</x:v>
      </x:c>
      <x:c r="D157" s="83" t="n">
        <x:f>G151</x:f>
        <x:v>71.01791236223379</x:v>
      </x:c>
      <x:c r="E157" s="83" t="str">
        <x:f>IF(A157=0,"GRID",IF(D157&gt;=Control!$B$17,"FINISHED",IF(AND(A157&gt;=INDEX(Drivers!$G$8:$G$13,B157),A157&lt;INDEX(Drivers!$G$8:$G$13,B157)+INDEX(Drivers!$J$8:$J$13,B157)),"PIT",IF(MOD(A157+INDEX(Drivers!$F$8:$F$13,B157),Control!$B$11)&lt;Control!$B$13,"BOOST","RACE"))))</x:f>
        <x:v>RACE</x:v>
      </x:c>
      <x:c r="F157" s="83" t="n">
        <x:f>IF(OR(E157="GRID",E157="FINISHED",E157="PIT"),0,MAX(Control!$B$15,(INDEX(Drivers!$D$8:$D$13,B157)+INDEX(Drivers!$E$8:$E$13,B157)*SIN((A157+INDEX(Drivers!$F$8:$F$13,B157)+Control!$B$16)*Control!$B$14))*INDEX(TrackMap!$M$8:$M$141,MOD(INT(D157)-1,Control!$B$7)+1)*IF(E157="BOOST",Control!$B$12,1)))</x:f>
        <x:v>2.561964250762536</x:v>
      </x:c>
      <x:c r="G157" s="83" t="n">
        <x:f>IF(A157=0,D157,MIN(Control!$B$17,D157+F157))</x:f>
        <x:v>73.57987661299633</x:v>
      </x:c>
      <x:c r="H157" s="73" t="n">
        <x:f>MOD(INT(G157)-1,Control!$B$7)+1</x:f>
        <x:v>73</x:v>
      </x:c>
      <x:c r="I157" s="73" t="n">
        <x:f>MIN(Control!$B$6,MAX(1,INT(MAX(0,G157)/Control!$B$7)+1))</x:f>
        <x:v>1</x:v>
      </x:c>
      <x:c r="J157" s="73" t="n">
        <x:f>INDEX(Drivers!$H$8:$H$13,B157)</x:f>
        <x:v>2</x:v>
      </x:c>
      <x:c r="K157" s="73" t="n">
        <x:f>IF(J157=1,INDEX(TrackMap!$I$8:$I$141,H157),INDEX(TrackMap!$L$8:$L$141,H157))</x:f>
        <x:v>1345</x:v>
      </x:c>
      <x:c r="L157" s="73" t="str">
        <x:f>INDEX(TrackMap!$F$8:$F$141,H157)</x:f>
        <x:v>↑</x:v>
      </x:c>
      <x:c r="M157" s="87" t="n">
        <x:f>MAX(0,G157/Control!$B$17)</x:f>
        <x:v>0.1098207113626811</x:v>
      </x:c>
      <x:c r="N157" s="73" t="n">
        <x:f>IF(N151&gt;0,N151,IF(G157&gt;=Control!$B$17,A157,0))</x:f>
        <x:v>0</x:v>
      </x:c>
      <x:c r="O157" s="91" t="n">
        <x:f>IF(N157&gt;0,Control!$B$17+Control!$B$8+1-N157,G157)-B157/100000</x:f>
        <x:v>73.57981661299632</x:v>
      </x:c>
      <x:c r="P157" s="73" t="n">
        <x:f>COUNTIF($O$152:$O$157,"&gt;"&amp;O157)+1</x:f>
        <x:v>6</x:v>
      </x:c>
      <x:c r="Q157" s="83" t="n">
        <x:f>MAX($G$152:$G$157)-G157</x:f>
        <x:v>6.809747546611305</x:v>
      </x:c>
      <x:c r="R157" s="73" t="str">
        <x:f>INDEX(TrackMap!$B$8:$B$141,H157)</x:f>
        <x:v>东侧上行弯</x:v>
      </x:c>
    </x:row>
    <x:row r="158" ht="20" customHeight="1">
      <x:c r="A158" s="73" t="n">
        <x:v>25</x:v>
      </x:c>
      <x:c r="B158" s="73" t="n">
        <x:v>1</x:v>
      </x:c>
      <x:c r="C158" s="73" t="str">
        <x:f>INDEX(Drivers!$B$8:$B$13,B158)</x:f>
        <x:v>赤焰</x:v>
      </x:c>
      <x:c r="D158" s="83" t="n">
        <x:f>G152</x:f>
        <x:v>78.7348437340253</x:v>
      </x:c>
      <x:c r="E158" s="83" t="str">
        <x:f>IF(A158=0,"GRID",IF(D158&gt;=Control!$B$17,"FINISHED",IF(AND(A158&gt;=INDEX(Drivers!$G$8:$G$13,B158),A158&lt;INDEX(Drivers!$G$8:$G$13,B158)+INDEX(Drivers!$J$8:$J$13,B158)),"PIT",IF(MOD(A158+INDEX(Drivers!$F$8:$F$13,B158),Control!$B$11)&lt;Control!$B$13,"BOOST","RACE"))))</x:f>
        <x:v>RACE</x:v>
      </x:c>
      <x:c r="F158" s="83" t="n">
        <x:f>IF(OR(E158="GRID",E158="FINISHED",E158="PIT"),0,MAX(Control!$B$15,(INDEX(Drivers!$D$8:$D$13,B158)+INDEX(Drivers!$E$8:$E$13,B158)*SIN((A158+INDEX(Drivers!$F$8:$F$13,B158)+Control!$B$16)*Control!$B$14))*INDEX(TrackMap!$M$8:$M$141,MOD(INT(D158)-1,Control!$B$7)+1)*IF(E158="BOOST",Control!$B$12,1)))</x:f>
        <x:v>3.2577374320673402</x:v>
      </x:c>
      <x:c r="G158" s="83" t="n">
        <x:f>IF(A158=0,D158,MIN(Control!$B$17,D158+F158))</x:f>
        <x:v>81.99258116609265</x:v>
      </x:c>
      <x:c r="H158" s="73" t="n">
        <x:f>MOD(INT(G158)-1,Control!$B$7)+1</x:f>
        <x:v>81</x:v>
      </x:c>
      <x:c r="I158" s="73" t="n">
        <x:f>MIN(Control!$B$6,MAX(1,INT(MAX(0,G158)/Control!$B$7)+1))</x:f>
        <x:v>1</x:v>
      </x:c>
      <x:c r="J158" s="73" t="n">
        <x:f>INDEX(Drivers!$H$8:$H$13,B158)</x:f>
        <x:v>1</x:v>
      </x:c>
      <x:c r="K158" s="73" t="n">
        <x:f>IF(J158=1,INDEX(TrackMap!$I$8:$I$141,H158),INDEX(TrackMap!$L$8:$L$141,H158))</x:f>
        <x:v>1051</x:v>
      </x:c>
      <x:c r="L158" s="73" t="str">
        <x:f>INDEX(TrackMap!$F$8:$F$141,H158)</x:f>
        <x:v>↓</x:v>
      </x:c>
      <x:c r="M158" s="87" t="n">
        <x:f>MAX(0,G158/Control!$B$17)</x:f>
        <x:v>0.12237698681506365</x:v>
      </x:c>
      <x:c r="N158" s="73" t="n">
        <x:f>IF(N152&gt;0,N152,IF(G158&gt;=Control!$B$17,A158,0))</x:f>
        <x:v>0</x:v>
      </x:c>
      <x:c r="O158" s="91" t="n">
        <x:f>IF(N158&gt;0,Control!$B$17+Control!$B$8+1-N158,G158)-B158/100000</x:f>
        <x:v>81.99257116609265</x:v>
      </x:c>
      <x:c r="P158" s="73" t="n">
        <x:f>COUNTIF($O$158:$O$163,"&gt;"&amp;O158)+1</x:f>
        <x:v>3</x:v>
      </x:c>
      <x:c r="Q158" s="83" t="n">
        <x:f>MAX($G$158:$G$163)-G158</x:f>
        <x:v>1.5560168041365472</x:v>
      </x:c>
      <x:c r="R158" s="73" t="str">
        <x:f>INDEX(TrackMap!$B$8:$B$141,H158)</x:f>
        <x:v>东侧发卡弯</x:v>
      </x:c>
    </x:row>
    <x:row r="159" ht="20" customHeight="1">
      <x:c r="A159" s="73" t="n">
        <x:v>25</x:v>
      </x:c>
      <x:c r="B159" s="73" t="n">
        <x:v>2</x:v>
      </x:c>
      <x:c r="C159" s="73" t="str">
        <x:f>INDEX(Drivers!$B$8:$B$13,B159)</x:f>
        <x:v>蓝电</x:v>
      </x:c>
      <x:c r="D159" s="83" t="n">
        <x:f>G153</x:f>
        <x:v>80.38962415960764</x:v>
      </x:c>
      <x:c r="E159" s="83" t="str">
        <x:f>IF(A159=0,"GRID",IF(D159&gt;=Control!$B$17,"FINISHED",IF(AND(A159&gt;=INDEX(Drivers!$G$8:$G$13,B159),A159&lt;INDEX(Drivers!$G$8:$G$13,B159)+INDEX(Drivers!$J$8:$J$13,B159)),"PIT",IF(MOD(A159+INDEX(Drivers!$F$8:$F$13,B159),Control!$B$11)&lt;Control!$B$13,"BOOST","RACE"))))</x:f>
        <x:v>BOOST</x:v>
      </x:c>
      <x:c r="F159" s="83" t="n">
        <x:f>IF(OR(E159="GRID",E159="FINISHED",E159="PIT"),0,MAX(Control!$B$15,(INDEX(Drivers!$D$8:$D$13,B159)+INDEX(Drivers!$E$8:$E$13,B159)*SIN((A159+INDEX(Drivers!$F$8:$F$13,B159)+Control!$B$16)*Control!$B$14))*INDEX(TrackMap!$M$8:$M$141,MOD(INT(D159)-1,Control!$B$7)+1)*IF(E159="BOOST",Control!$B$12,1)))</x:f>
        <x:v>3.158973810621558</x:v>
      </x:c>
      <x:c r="G159" s="83" t="n">
        <x:f>IF(A159=0,D159,MIN(Control!$B$17,D159+F159))</x:f>
        <x:v>83.5485979702292</x:v>
      </x:c>
      <x:c r="H159" s="73" t="n">
        <x:f>MOD(INT(G159)-1,Control!$B$7)+1</x:f>
        <x:v>83</x:v>
      </x:c>
      <x:c r="I159" s="73" t="n">
        <x:f>MIN(Control!$B$6,MAX(1,INT(MAX(0,G159)/Control!$B$7)+1))</x:f>
        <x:v>1</x:v>
      </x:c>
      <x:c r="J159" s="73" t="n">
        <x:f>INDEX(Drivers!$H$8:$H$13,B159)</x:f>
        <x:v>2</x:v>
      </x:c>
      <x:c r="K159" s="73" t="n">
        <x:f>IF(J159=1,INDEX(TrackMap!$I$8:$I$141,H159),INDEX(TrackMap!$L$8:$L$141,H159))</x:f>
        <x:v>1251</x:v>
      </x:c>
      <x:c r="L159" s="73" t="str">
        <x:f>INDEX(TrackMap!$F$8:$F$141,H159)</x:f>
        <x:v>↓</x:v>
      </x:c>
      <x:c r="M159" s="87" t="n">
        <x:f>MAX(0,G159/Control!$B$17)</x:f>
        <x:v>0.12469939995556596</x:v>
      </x:c>
      <x:c r="N159" s="73" t="n">
        <x:f>IF(N153&gt;0,N153,IF(G159&gt;=Control!$B$17,A159,0))</x:f>
        <x:v>0</x:v>
      </x:c>
      <x:c r="O159" s="91" t="n">
        <x:f>IF(N159&gt;0,Control!$B$17+Control!$B$8+1-N159,G159)-B159/100000</x:f>
        <x:v>83.54857797022919</x:v>
      </x:c>
      <x:c r="P159" s="73" t="n">
        <x:f>COUNTIF($O$158:$O$163,"&gt;"&amp;O159)+1</x:f>
        <x:v>1</x:v>
      </x:c>
      <x:c r="Q159" s="83" t="n">
        <x:f>MAX($G$158:$G$163)-G159</x:f>
        <x:v>0</x:v>
      </x:c>
      <x:c r="R159" s="73" t="str">
        <x:f>INDEX(TrackMap!$B$8:$B$141,H159)</x:f>
        <x:v>东侧长直道</x:v>
      </x:c>
    </x:row>
    <x:row r="160" ht="20" customHeight="1">
      <x:c r="A160" s="73" t="n">
        <x:v>25</x:v>
      </x:c>
      <x:c r="B160" s="73" t="n">
        <x:v>3</x:v>
      </x:c>
      <x:c r="C160" s="73" t="str">
        <x:f>INDEX(Drivers!$B$8:$B$13,B160)</x:f>
        <x:v>金翼</x:v>
      </x:c>
      <x:c r="D160" s="83" t="n">
        <x:f>G154</x:f>
        <x:v>77.45644674514807</x:v>
      </x:c>
      <x:c r="E160" s="83" t="str">
        <x:f>IF(A160=0,"GRID",IF(D160&gt;=Control!$B$17,"FINISHED",IF(AND(A160&gt;=INDEX(Drivers!$G$8:$G$13,B160),A160&lt;INDEX(Drivers!$G$8:$G$13,B160)+INDEX(Drivers!$J$8:$J$13,B160)),"PIT",IF(MOD(A160+INDEX(Drivers!$F$8:$F$13,B160),Control!$B$11)&lt;Control!$B$13,"BOOST","RACE"))))</x:f>
        <x:v>RACE</x:v>
      </x:c>
      <x:c r="F160" s="83" t="n">
        <x:f>IF(OR(E160="GRID",E160="FINISHED",E160="PIT"),0,MAX(Control!$B$15,(INDEX(Drivers!$D$8:$D$13,B160)+INDEX(Drivers!$E$8:$E$13,B160)*SIN((A160+INDEX(Drivers!$F$8:$F$13,B160)+Control!$B$16)*Control!$B$14))*INDEX(TrackMap!$M$8:$M$141,MOD(INT(D160)-1,Control!$B$7)+1)*IF(E160="BOOST",Control!$B$12,1)))</x:f>
        <x:v>3.154804871879959</x:v>
      </x:c>
      <x:c r="G160" s="83" t="n">
        <x:f>IF(A160=0,D160,MIN(Control!$B$17,D160+F160))</x:f>
        <x:v>80.61125161702803</x:v>
      </x:c>
      <x:c r="H160" s="73" t="n">
        <x:f>MOD(INT(G160)-1,Control!$B$7)+1</x:f>
        <x:v>80</x:v>
      </x:c>
      <x:c r="I160" s="73" t="n">
        <x:f>MIN(Control!$B$6,MAX(1,INT(MAX(0,G160)/Control!$B$7)+1))</x:f>
        <x:v>1</x:v>
      </x:c>
      <x:c r="J160" s="73" t="n">
        <x:f>INDEX(Drivers!$H$8:$H$13,B160)</x:f>
        <x:v>1</x:v>
      </x:c>
      <x:c r="K160" s="73" t="n">
        <x:f>IF(J160=1,INDEX(TrackMap!$I$8:$I$141,H160),INDEX(TrackMap!$L$8:$L$141,H160))</x:f>
        <x:v>849</x:v>
      </x:c>
      <x:c r="L160" s="73" t="str">
        <x:f>INDEX(TrackMap!$F$8:$F$141,H160)</x:f>
        <x:v>→</x:v>
      </x:c>
      <x:c r="M160" s="87" t="n">
        <x:f>MAX(0,G160/Control!$B$17)</x:f>
        <x:v>0.12031530092093735</x:v>
      </x:c>
      <x:c r="N160" s="73" t="n">
        <x:f>IF(N154&gt;0,N154,IF(G160&gt;=Control!$B$17,A160,0))</x:f>
        <x:v>0</x:v>
      </x:c>
      <x:c r="O160" s="91" t="n">
        <x:f>IF(N160&gt;0,Control!$B$17+Control!$B$8+1-N160,G160)-B160/100000</x:f>
        <x:v>80.61122161702804</x:v>
      </x:c>
      <x:c r="P160" s="73" t="n">
        <x:f>COUNTIF($O$158:$O$163,"&gt;"&amp;O160)+1</x:f>
        <x:v>4</x:v>
      </x:c>
      <x:c r="Q160" s="83" t="n">
        <x:f>MAX($G$158:$G$163)-G160</x:f>
        <x:v>2.937346353201164</x:v>
      </x:c>
      <x:c r="R160" s="73" t="str">
        <x:f>INDEX(TrackMap!$B$8:$B$141,H160)</x:f>
        <x:v>东侧发卡弯</x:v>
      </x:c>
    </x:row>
    <x:row r="161" ht="20" customHeight="1">
      <x:c r="A161" s="73" t="n">
        <x:v>25</x:v>
      </x:c>
      <x:c r="B161" s="73" t="n">
        <x:v>4</x:v>
      </x:c>
      <x:c r="C161" s="73" t="str">
        <x:f>INDEX(Drivers!$B$8:$B$13,B161)</x:f>
        <x:v>紫影</x:v>
      </x:c>
      <x:c r="D161" s="83" t="n">
        <x:f>G155</x:f>
        <x:v>79.80004997631337</x:v>
      </x:c>
      <x:c r="E161" s="83" t="str">
        <x:f>IF(A161=0,"GRID",IF(D161&gt;=Control!$B$17,"FINISHED",IF(AND(A161&gt;=INDEX(Drivers!$G$8:$G$13,B161),A161&lt;INDEX(Drivers!$G$8:$G$13,B161)+INDEX(Drivers!$J$8:$J$13,B161)),"PIT",IF(MOD(A161+INDEX(Drivers!$F$8:$F$13,B161),Control!$B$11)&lt;Control!$B$13,"BOOST","RACE"))))</x:f>
        <x:v>RACE</x:v>
      </x:c>
      <x:c r="F161" s="83" t="n">
        <x:f>IF(OR(E161="GRID",E161="FINISHED",E161="PIT"),0,MAX(Control!$B$15,(INDEX(Drivers!$D$8:$D$13,B161)+INDEX(Drivers!$E$8:$E$13,B161)*SIN((A161+INDEX(Drivers!$F$8:$F$13,B161)+Control!$B$16)*Control!$B$14))*INDEX(TrackMap!$M$8:$M$141,MOD(INT(D161)-1,Control!$B$7)+1)*IF(E161="BOOST",Control!$B$12,1)))</x:f>
        <x:v>2.7142010033175024</x:v>
      </x:c>
      <x:c r="G161" s="83" t="n">
        <x:f>IF(A161=0,D161,MIN(Control!$B$17,D161+F161))</x:f>
        <x:v>82.51425097963087</x:v>
      </x:c>
      <x:c r="H161" s="73" t="n">
        <x:f>MOD(INT(G161)-1,Control!$B$7)+1</x:f>
        <x:v>82</x:v>
      </x:c>
      <x:c r="I161" s="73" t="n">
        <x:f>MIN(Control!$B$6,MAX(1,INT(MAX(0,G161)/Control!$B$7)+1))</x:f>
        <x:v>1</x:v>
      </x:c>
      <x:c r="J161" s="73" t="n">
        <x:f>INDEX(Drivers!$H$8:$H$13,B161)</x:f>
        <x:v>2</x:v>
      </x:c>
      <x:c r="K161" s="73" t="n">
        <x:f>IF(J161=1,INDEX(TrackMap!$I$8:$I$141,H161),INDEX(TrackMap!$L$8:$L$141,H161))</x:f>
        <x:v>1151</x:v>
      </x:c>
      <x:c r="L161" s="73" t="str">
        <x:f>INDEX(TrackMap!$F$8:$F$141,H161)</x:f>
        <x:v>↓</x:v>
      </x:c>
      <x:c r="M161" s="87" t="n">
        <x:f>MAX(0,G161/Control!$B$17)</x:f>
        <x:v>0.123155598477061</x:v>
      </x:c>
      <x:c r="N161" s="73" t="n">
        <x:f>IF(N155&gt;0,N155,IF(G161&gt;=Control!$B$17,A161,0))</x:f>
        <x:v>0</x:v>
      </x:c>
      <x:c r="O161" s="91" t="n">
        <x:f>IF(N161&gt;0,Control!$B$17+Control!$B$8+1-N161,G161)-B161/100000</x:f>
        <x:v>82.51421097963087</x:v>
      </x:c>
      <x:c r="P161" s="73" t="n">
        <x:f>COUNTIF($O$158:$O$163,"&gt;"&amp;O161)+1</x:f>
        <x:v>2</x:v>
      </x:c>
      <x:c r="Q161" s="83" t="n">
        <x:f>MAX($G$158:$G$163)-G161</x:f>
        <x:v>1.0343469905983227</x:v>
      </x:c>
      <x:c r="R161" s="73" t="str">
        <x:f>INDEX(TrackMap!$B$8:$B$141,H161)</x:f>
        <x:v>东侧长直道</x:v>
      </x:c>
    </x:row>
    <x:row r="162" ht="20" customHeight="1">
      <x:c r="A162" s="73" t="n">
        <x:v>25</x:v>
      </x:c>
      <x:c r="B162" s="73" t="n">
        <x:v>5</x:v>
      </x:c>
      <x:c r="C162" s="73" t="str">
        <x:f>INDEX(Drivers!$B$8:$B$13,B162)</x:f>
        <x:v>青锋</x:v>
      </x:c>
      <x:c r="D162" s="83" t="n">
        <x:f>G156</x:f>
        <x:v>74.87051621771742</x:v>
      </x:c>
      <x:c r="E162" s="83" t="str">
        <x:f>IF(A162=0,"GRID",IF(D162&gt;=Control!$B$17,"FINISHED",IF(AND(A162&gt;=INDEX(Drivers!$G$8:$G$13,B162),A162&lt;INDEX(Drivers!$G$8:$G$13,B162)+INDEX(Drivers!$J$8:$J$13,B162)),"PIT",IF(MOD(A162+INDEX(Drivers!$F$8:$F$13,B162),Control!$B$11)&lt;Control!$B$13,"BOOST","RACE"))))</x:f>
        <x:v>BOOST</x:v>
      </x:c>
      <x:c r="F162" s="83" t="n">
        <x:f>IF(OR(E162="GRID",E162="FINISHED",E162="PIT"),0,MAX(Control!$B$15,(INDEX(Drivers!$D$8:$D$13,B162)+INDEX(Drivers!$E$8:$E$13,B162)*SIN((A162+INDEX(Drivers!$F$8:$F$13,B162)+Control!$B$16)*Control!$B$14))*INDEX(TrackMap!$M$8:$M$141,MOD(INT(D162)-1,Control!$B$7)+1)*IF(E162="BOOST",Control!$B$12,1)))</x:f>
        <x:v>3.712513845025644</x:v>
      </x:c>
      <x:c r="G162" s="83" t="n">
        <x:f>IF(A162=0,D162,MIN(Control!$B$17,D162+F162))</x:f>
        <x:v>78.58303006274306</x:v>
      </x:c>
      <x:c r="H162" s="73" t="n">
        <x:f>MOD(INT(G162)-1,Control!$B$7)+1</x:f>
        <x:v>78</x:v>
      </x:c>
      <x:c r="I162" s="73" t="n">
        <x:f>MIN(Control!$B$6,MAX(1,INT(MAX(0,G162)/Control!$B$7)+1))</x:f>
        <x:v>1</x:v>
      </x:c>
      <x:c r="J162" s="73" t="n">
        <x:f>INDEX(Drivers!$H$8:$H$13,B162)</x:f>
        <x:v>1</x:v>
      </x:c>
      <x:c r="K162" s="73" t="n">
        <x:f>IF(J162=1,INDEX(TrackMap!$I$8:$I$141,H162),INDEX(TrackMap!$L$8:$L$141,H162))</x:f>
        <x:v>847</x:v>
      </x:c>
      <x:c r="L162" s="73" t="str">
        <x:f>INDEX(TrackMap!$F$8:$F$141,H162)</x:f>
        <x:v>→</x:v>
      </x:c>
      <x:c r="M162" s="87" t="n">
        <x:f>MAX(0,G162/Control!$B$17)</x:f>
        <x:v>0.11728810457125831</x:v>
      </x:c>
      <x:c r="N162" s="73" t="n">
        <x:f>IF(N156&gt;0,N156,IF(G162&gt;=Control!$B$17,A162,0))</x:f>
        <x:v>0</x:v>
      </x:c>
      <x:c r="O162" s="91" t="n">
        <x:f>IF(N162&gt;0,Control!$B$17+Control!$B$8+1-N162,G162)-B162/100000</x:f>
        <x:v>78.58298006274306</x:v>
      </x:c>
      <x:c r="P162" s="73" t="n">
        <x:f>COUNTIF($O$158:$O$163,"&gt;"&amp;O162)+1</x:f>
        <x:v>5</x:v>
      </x:c>
      <x:c r="Q162" s="83" t="n">
        <x:f>MAX($G$158:$G$163)-G162</x:f>
        <x:v>4.9655679074861325</x:v>
      </x:c>
      <x:c r="R162" s="73" t="str">
        <x:f>INDEX(TrackMap!$B$8:$B$141,H162)</x:f>
        <x:v>东侧发卡弯</x:v>
      </x:c>
    </x:row>
    <x:row r="163" ht="20" customHeight="1">
      <x:c r="A163" s="73" t="n">
        <x:v>25</x:v>
      </x:c>
      <x:c r="B163" s="73" t="n">
        <x:v>6</x:v>
      </x:c>
      <x:c r="C163" s="73" t="str">
        <x:f>INDEX(Drivers!$B$8:$B$13,B163)</x:f>
        <x:v>玫速</x:v>
      </x:c>
      <x:c r="D163" s="83" t="n">
        <x:f>G157</x:f>
        <x:v>73.57987661299633</x:v>
      </x:c>
      <x:c r="E163" s="83" t="str">
        <x:f>IF(A163=0,"GRID",IF(D163&gt;=Control!$B$17,"FINISHED",IF(AND(A163&gt;=INDEX(Drivers!$G$8:$G$13,B163),A163&lt;INDEX(Drivers!$G$8:$G$13,B163)+INDEX(Drivers!$J$8:$J$13,B163)),"PIT",IF(MOD(A163+INDEX(Drivers!$F$8:$F$13,B163),Control!$B$11)&lt;Control!$B$13,"BOOST","RACE"))))</x:f>
        <x:v>RACE</x:v>
      </x:c>
      <x:c r="F163" s="83" t="n">
        <x:f>IF(OR(E163="GRID",E163="FINISHED",E163="PIT"),0,MAX(Control!$B$15,(INDEX(Drivers!$D$8:$D$13,B163)+INDEX(Drivers!$E$8:$E$13,B163)*SIN((A163+INDEX(Drivers!$F$8:$F$13,B163)+Control!$B$16)*Control!$B$14))*INDEX(TrackMap!$M$8:$M$141,MOD(INT(D163)-1,Control!$B$7)+1)*IF(E163="BOOST",Control!$B$12,1)))</x:f>
        <x:v>2.7101190705562215</x:v>
      </x:c>
      <x:c r="G163" s="83" t="n">
        <x:f>IF(A163=0,D163,MIN(Control!$B$17,D163+F163))</x:f>
        <x:v>76.28999568355255</x:v>
      </x:c>
      <x:c r="H163" s="73" t="n">
        <x:f>MOD(INT(G163)-1,Control!$B$7)+1</x:f>
        <x:v>76</x:v>
      </x:c>
      <x:c r="I163" s="73" t="n">
        <x:f>MIN(Control!$B$6,MAX(1,INT(MAX(0,G163)/Control!$B$7)+1))</x:f>
        <x:v>1</x:v>
      </x:c>
      <x:c r="J163" s="73" t="n">
        <x:f>INDEX(Drivers!$H$8:$H$13,B163)</x:f>
        <x:v>2</x:v>
      </x:c>
      <x:c r="K163" s="73" t="n">
        <x:f>IF(J163=1,INDEX(TrackMap!$I$8:$I$141,H163),INDEX(TrackMap!$L$8:$L$141,H163))</x:f>
        <x:v>1045</x:v>
      </x:c>
      <x:c r="L163" s="73" t="str">
        <x:f>INDEX(TrackMap!$F$8:$F$141,H163)</x:f>
        <x:v>↑</x:v>
      </x:c>
      <x:c r="M163" s="87" t="n">
        <x:f>MAX(0,G163/Control!$B$17)</x:f>
        <x:v>0.11386566519933217</x:v>
      </x:c>
      <x:c r="N163" s="73" t="n">
        <x:f>IF(N157&gt;0,N157,IF(G163&gt;=Control!$B$17,A163,0))</x:f>
        <x:v>0</x:v>
      </x:c>
      <x:c r="O163" s="91" t="n">
        <x:f>IF(N163&gt;0,Control!$B$17+Control!$B$8+1-N163,G163)-B163/100000</x:f>
        <x:v>76.28993568355254</x:v>
      </x:c>
      <x:c r="P163" s="73" t="n">
        <x:f>COUNTIF($O$158:$O$163,"&gt;"&amp;O163)+1</x:f>
        <x:v>6</x:v>
      </x:c>
      <x:c r="Q163" s="83" t="n">
        <x:f>MAX($G$158:$G$163)-G163</x:f>
        <x:v>7.258602286676648</x:v>
      </x:c>
      <x:c r="R163" s="73" t="str">
        <x:f>INDEX(TrackMap!$B$8:$B$141,H163)</x:f>
        <x:v>东侧上行弯</x:v>
      </x:c>
    </x:row>
    <x:row r="164" ht="20" customHeight="1">
      <x:c r="A164" s="73" t="n">
        <x:v>26</x:v>
      </x:c>
      <x:c r="B164" s="73" t="n">
        <x:v>1</x:v>
      </x:c>
      <x:c r="C164" s="73" t="str">
        <x:f>INDEX(Drivers!$B$8:$B$13,B164)</x:f>
        <x:v>赤焰</x:v>
      </x:c>
      <x:c r="D164" s="83" t="n">
        <x:f>G158</x:f>
        <x:v>81.99258116609265</x:v>
      </x:c>
      <x:c r="E164" s="83" t="str">
        <x:f>IF(A164=0,"GRID",IF(D164&gt;=Control!$B$17,"FINISHED",IF(AND(A164&gt;=INDEX(Drivers!$G$8:$G$13,B164),A164&lt;INDEX(Drivers!$G$8:$G$13,B164)+INDEX(Drivers!$J$8:$J$13,B164)),"PIT",IF(MOD(A164+INDEX(Drivers!$F$8:$F$13,B164),Control!$B$11)&lt;Control!$B$13,"BOOST","RACE"))))</x:f>
        <x:v>RACE</x:v>
      </x:c>
      <x:c r="F164" s="83" t="n">
        <x:f>IF(OR(E164="GRID",E164="FINISHED",E164="PIT"),0,MAX(Control!$B$15,(INDEX(Drivers!$D$8:$D$13,B164)+INDEX(Drivers!$E$8:$E$13,B164)*SIN((A164+INDEX(Drivers!$F$8:$F$13,B164)+Control!$B$16)*Control!$B$14))*INDEX(TrackMap!$M$8:$M$141,MOD(INT(D164)-1,Control!$B$7)+1)*IF(E164="BOOST",Control!$B$12,1)))</x:f>
        <x:v>3.1851601369040106</x:v>
      </x:c>
      <x:c r="G164" s="83" t="n">
        <x:f>IF(A164=0,D164,MIN(Control!$B$17,D164+F164))</x:f>
        <x:v>85.17774130299667</x:v>
      </x:c>
      <x:c r="H164" s="73" t="n">
        <x:f>MOD(INT(G164)-1,Control!$B$7)+1</x:f>
        <x:v>85</x:v>
      </x:c>
      <x:c r="I164" s="73" t="n">
        <x:f>MIN(Control!$B$6,MAX(1,INT(MAX(0,G164)/Control!$B$7)+1))</x:f>
        <x:v>1</x:v>
      </x:c>
      <x:c r="J164" s="73" t="n">
        <x:f>INDEX(Drivers!$H$8:$H$13,B164)</x:f>
        <x:v>1</x:v>
      </x:c>
      <x:c r="K164" s="73" t="n">
        <x:f>IF(J164=1,INDEX(TrackMap!$I$8:$I$141,H164),INDEX(TrackMap!$L$8:$L$141,H164))</x:f>
        <x:v>1452</x:v>
      </x:c>
      <x:c r="L164" s="73" t="str">
        <x:f>INDEX(TrackMap!$F$8:$F$141,H164)</x:f>
        <x:v>↓</x:v>
      </x:c>
      <x:c r="M164" s="87" t="n">
        <x:f>MAX(0,G164/Control!$B$17)</x:f>
        <x:v>0.12713095716865175</x:v>
      </x:c>
      <x:c r="N164" s="73" t="n">
        <x:f>IF(N158&gt;0,N158,IF(G164&gt;=Control!$B$17,A164,0))</x:f>
        <x:v>0</x:v>
      </x:c>
      <x:c r="O164" s="91" t="n">
        <x:f>IF(N164&gt;0,Control!$B$17+Control!$B$8+1-N164,G164)-B164/100000</x:f>
        <x:v>85.17773130299666</x:v>
      </x:c>
      <x:c r="P164" s="73" t="n">
        <x:f>COUNTIF($O$164:$O$169,"&gt;"&amp;O164)+1</x:f>
        <x:v>2</x:v>
      </x:c>
      <x:c r="Q164" s="83" t="n">
        <x:f>MAX($G$164:$G$169)-G164</x:f>
        <x:v>0.6981492985941031</x:v>
      </x:c>
      <x:c r="R164" s="73" t="str">
        <x:f>INDEX(TrackMap!$B$8:$B$141,H164)</x:f>
        <x:v>东侧长直道</x:v>
      </x:c>
    </x:row>
    <x:row r="165" ht="20" customHeight="1">
      <x:c r="A165" s="73" t="n">
        <x:v>26</x:v>
      </x:c>
      <x:c r="B165" s="73" t="n">
        <x:v>2</x:v>
      </x:c>
      <x:c r="C165" s="73" t="str">
        <x:f>INDEX(Drivers!$B$8:$B$13,B165)</x:f>
        <x:v>蓝电</x:v>
      </x:c>
      <x:c r="D165" s="83" t="n">
        <x:f>G159</x:f>
        <x:v>83.5485979702292</x:v>
      </x:c>
      <x:c r="E165" s="83" t="str">
        <x:f>IF(A165=0,"GRID",IF(D165&gt;=Control!$B$17,"FINISHED",IF(AND(A165&gt;=INDEX(Drivers!$G$8:$G$13,B165),A165&lt;INDEX(Drivers!$G$8:$G$13,B165)+INDEX(Drivers!$J$8:$J$13,B165)),"PIT",IF(MOD(A165+INDEX(Drivers!$F$8:$F$13,B165),Control!$B$11)&lt;Control!$B$13,"BOOST","RACE"))))</x:f>
        <x:v>RACE</x:v>
      </x:c>
      <x:c r="F165" s="83" t="n">
        <x:f>IF(OR(E165="GRID",E165="FINISHED",E165="PIT"),0,MAX(Control!$B$15,(INDEX(Drivers!$D$8:$D$13,B165)+INDEX(Drivers!$E$8:$E$13,B165)*SIN((A165+INDEX(Drivers!$F$8:$F$13,B165)+Control!$B$16)*Control!$B$14))*INDEX(TrackMap!$M$8:$M$141,MOD(INT(D165)-1,Control!$B$7)+1)*IF(E165="BOOST",Control!$B$12,1)))</x:f>
        <x:v>2.3272926313615674</x:v>
      </x:c>
      <x:c r="G165" s="83" t="n">
        <x:f>IF(A165=0,D165,MIN(Control!$B$17,D165+F165))</x:f>
        <x:v>85.87589060159077</x:v>
      </x:c>
      <x:c r="H165" s="73" t="n">
        <x:f>MOD(INT(G165)-1,Control!$B$7)+1</x:f>
        <x:v>85</x:v>
      </x:c>
      <x:c r="I165" s="73" t="n">
        <x:f>MIN(Control!$B$6,MAX(1,INT(MAX(0,G165)/Control!$B$7)+1))</x:f>
        <x:v>1</x:v>
      </x:c>
      <x:c r="J165" s="73" t="n">
        <x:f>INDEX(Drivers!$H$8:$H$13,B165)</x:f>
        <x:v>2</x:v>
      </x:c>
      <x:c r="K165" s="73" t="n">
        <x:f>IF(J165=1,INDEX(TrackMap!$I$8:$I$141,H165),INDEX(TrackMap!$L$8:$L$141,H165))</x:f>
        <x:v>1451</x:v>
      </x:c>
      <x:c r="L165" s="73" t="str">
        <x:f>INDEX(TrackMap!$F$8:$F$141,H165)</x:f>
        <x:v>↓</x:v>
      </x:c>
      <x:c r="M165" s="87" t="n">
        <x:f>MAX(0,G165/Control!$B$17)</x:f>
        <x:v>0.1281729710471504</x:v>
      </x:c>
      <x:c r="N165" s="73" t="n">
        <x:f>IF(N159&gt;0,N159,IF(G165&gt;=Control!$B$17,A165,0))</x:f>
        <x:v>0</x:v>
      </x:c>
      <x:c r="O165" s="91" t="n">
        <x:f>IF(N165&gt;0,Control!$B$17+Control!$B$8+1-N165,G165)-B165/100000</x:f>
        <x:v>85.87587060159076</x:v>
      </x:c>
      <x:c r="P165" s="73" t="n">
        <x:f>COUNTIF($O$164:$O$169,"&gt;"&amp;O165)+1</x:f>
        <x:v>1</x:v>
      </x:c>
      <x:c r="Q165" s="83" t="n">
        <x:f>MAX($G$164:$G$169)-G165</x:f>
        <x:v>0</x:v>
      </x:c>
      <x:c r="R165" s="73" t="str">
        <x:f>INDEX(TrackMap!$B$8:$B$141,H165)</x:f>
        <x:v>东侧长直道</x:v>
      </x:c>
    </x:row>
    <x:row r="166" ht="20" customHeight="1">
      <x:c r="A166" s="73" t="n">
        <x:v>26</x:v>
      </x:c>
      <x:c r="B166" s="73" t="n">
        <x:v>3</x:v>
      </x:c>
      <x:c r="C166" s="73" t="str">
        <x:f>INDEX(Drivers!$B$8:$B$13,B166)</x:f>
        <x:v>金翼</x:v>
      </x:c>
      <x:c r="D166" s="83" t="n">
        <x:f>G160</x:f>
        <x:v>80.61125161702803</x:v>
      </x:c>
      <x:c r="E166" s="83" t="str">
        <x:f>IF(A166=0,"GRID",IF(D166&gt;=Control!$B$17,"FINISHED",IF(AND(A166&gt;=INDEX(Drivers!$G$8:$G$13,B166),A166&lt;INDEX(Drivers!$G$8:$G$13,B166)+INDEX(Drivers!$J$8:$J$13,B166)),"PIT",IF(MOD(A166+INDEX(Drivers!$F$8:$F$13,B166),Control!$B$11)&lt;Control!$B$13,"BOOST","RACE"))))</x:f>
        <x:v>RACE</x:v>
      </x:c>
      <x:c r="F166" s="83" t="n">
        <x:f>IF(OR(E166="GRID",E166="FINISHED",E166="PIT"),0,MAX(Control!$B$15,(INDEX(Drivers!$D$8:$D$13,B166)+INDEX(Drivers!$E$8:$E$13,B166)*SIN((A166+INDEX(Drivers!$F$8:$F$13,B166)+Control!$B$16)*Control!$B$14))*INDEX(TrackMap!$M$8:$M$141,MOD(INT(D166)-1,Control!$B$7)+1)*IF(E166="BOOST",Control!$B$12,1)))</x:f>
        <x:v>3.2387946125441283</x:v>
      </x:c>
      <x:c r="G166" s="83" t="n">
        <x:f>IF(A166=0,D166,MIN(Control!$B$17,D166+F166))</x:f>
        <x:v>83.85004622957216</x:v>
      </x:c>
      <x:c r="H166" s="73" t="n">
        <x:f>MOD(INT(G166)-1,Control!$B$7)+1</x:f>
        <x:v>83</x:v>
      </x:c>
      <x:c r="I166" s="73" t="n">
        <x:f>MIN(Control!$B$6,MAX(1,INT(MAX(0,G166)/Control!$B$7)+1))</x:f>
        <x:v>1</x:v>
      </x:c>
      <x:c r="J166" s="73" t="n">
        <x:f>INDEX(Drivers!$H$8:$H$13,B166)</x:f>
        <x:v>1</x:v>
      </x:c>
      <x:c r="K166" s="73" t="n">
        <x:f>IF(J166=1,INDEX(TrackMap!$I$8:$I$141,H166),INDEX(TrackMap!$L$8:$L$141,H166))</x:f>
        <x:v>1252</x:v>
      </x:c>
      <x:c r="L166" s="73" t="str">
        <x:f>INDEX(TrackMap!$F$8:$F$141,H166)</x:f>
        <x:v>↓</x:v>
      </x:c>
      <x:c r="M166" s="87" t="n">
        <x:f>MAX(0,G166/Control!$B$17)</x:f>
        <x:v>0.12514932273070473</x:v>
      </x:c>
      <x:c r="N166" s="73" t="n">
        <x:f>IF(N160&gt;0,N160,IF(G166&gt;=Control!$B$17,A166,0))</x:f>
        <x:v>0</x:v>
      </x:c>
      <x:c r="O166" s="91" t="n">
        <x:f>IF(N166&gt;0,Control!$B$17+Control!$B$8+1-N166,G166)-B166/100000</x:f>
        <x:v>83.85001622957216</x:v>
      </x:c>
      <x:c r="P166" s="73" t="n">
        <x:f>COUNTIF($O$164:$O$169,"&gt;"&amp;O166)+1</x:f>
        <x:v>4</x:v>
      </x:c>
      <x:c r="Q166" s="83" t="n">
        <x:f>MAX($G$164:$G$169)-G166</x:f>
        <x:v>2.025844372018611</x:v>
      </x:c>
      <x:c r="R166" s="73" t="str">
        <x:f>INDEX(TrackMap!$B$8:$B$141,H166)</x:f>
        <x:v>东侧长直道</x:v>
      </x:c>
    </x:row>
    <x:row r="167" ht="20" customHeight="1">
      <x:c r="A167" s="73" t="n">
        <x:v>26</x:v>
      </x:c>
      <x:c r="B167" s="73" t="n">
        <x:v>4</x:v>
      </x:c>
      <x:c r="C167" s="73" t="str">
        <x:f>INDEX(Drivers!$B$8:$B$13,B167)</x:f>
        <x:v>紫影</x:v>
      </x:c>
      <x:c r="D167" s="83" t="n">
        <x:f>G161</x:f>
        <x:v>82.51425097963087</x:v>
      </x:c>
      <x:c r="E167" s="83" t="str">
        <x:f>IF(A167=0,"GRID",IF(D167&gt;=Control!$B$17,"FINISHED",IF(AND(A167&gt;=INDEX(Drivers!$G$8:$G$13,B167),A167&lt;INDEX(Drivers!$G$8:$G$13,B167)+INDEX(Drivers!$J$8:$J$13,B167)),"PIT",IF(MOD(A167+INDEX(Drivers!$F$8:$F$13,B167),Control!$B$11)&lt;Control!$B$13,"BOOST","RACE"))))</x:f>
        <x:v>RACE</x:v>
      </x:c>
      <x:c r="F167" s="83" t="n">
        <x:f>IF(OR(E167="GRID",E167="FINISHED",E167="PIT"),0,MAX(Control!$B$15,(INDEX(Drivers!$D$8:$D$13,B167)+INDEX(Drivers!$E$8:$E$13,B167)*SIN((A167+INDEX(Drivers!$F$8:$F$13,B167)+Control!$B$16)*Control!$B$14))*INDEX(TrackMap!$M$8:$M$141,MOD(INT(D167)-1,Control!$B$7)+1)*IF(E167="BOOST",Control!$B$12,1)))</x:f>
        <x:v>2.560508773299375</x:v>
      </x:c>
      <x:c r="G167" s="83" t="n">
        <x:f>IF(A167=0,D167,MIN(Control!$B$17,D167+F167))</x:f>
        <x:v>85.07475975293025</x:v>
      </x:c>
      <x:c r="H167" s="73" t="n">
        <x:f>MOD(INT(G167)-1,Control!$B$7)+1</x:f>
        <x:v>85</x:v>
      </x:c>
      <x:c r="I167" s="73" t="n">
        <x:f>MIN(Control!$B$6,MAX(1,INT(MAX(0,G167)/Control!$B$7)+1))</x:f>
        <x:v>1</x:v>
      </x:c>
      <x:c r="J167" s="73" t="n">
        <x:f>INDEX(Drivers!$H$8:$H$13,B167)</x:f>
        <x:v>2</x:v>
      </x:c>
      <x:c r="K167" s="73" t="n">
        <x:f>IF(J167=1,INDEX(TrackMap!$I$8:$I$141,H167),INDEX(TrackMap!$L$8:$L$141,H167))</x:f>
        <x:v>1451</x:v>
      </x:c>
      <x:c r="L167" s="73" t="str">
        <x:f>INDEX(TrackMap!$F$8:$F$141,H167)</x:f>
        <x:v>↓</x:v>
      </x:c>
      <x:c r="M167" s="87" t="n">
        <x:f>MAX(0,G167/Control!$B$17)</x:f>
        <x:v>0.12697725336258245</x:v>
      </x:c>
      <x:c r="N167" s="73" t="n">
        <x:f>IF(N161&gt;0,N161,IF(G167&gt;=Control!$B$17,A167,0))</x:f>
        <x:v>0</x:v>
      </x:c>
      <x:c r="O167" s="91" t="n">
        <x:f>IF(N167&gt;0,Control!$B$17+Control!$B$8+1-N167,G167)-B167/100000</x:f>
        <x:v>85.07471975293025</x:v>
      </x:c>
      <x:c r="P167" s="73" t="n">
        <x:f>COUNTIF($O$164:$O$169,"&gt;"&amp;O167)+1</x:f>
        <x:v>3</x:v>
      </x:c>
      <x:c r="Q167" s="83" t="n">
        <x:f>MAX($G$164:$G$169)-G167</x:f>
        <x:v>0.8011308486605202</x:v>
      </x:c>
      <x:c r="R167" s="73" t="str">
        <x:f>INDEX(TrackMap!$B$8:$B$141,H167)</x:f>
        <x:v>东侧长直道</x:v>
      </x:c>
    </x:row>
    <x:row r="168" ht="20" customHeight="1">
      <x:c r="A168" s="73" t="n">
        <x:v>26</x:v>
      </x:c>
      <x:c r="B168" s="73" t="n">
        <x:v>5</x:v>
      </x:c>
      <x:c r="C168" s="73" t="str">
        <x:f>INDEX(Drivers!$B$8:$B$13,B168)</x:f>
        <x:v>青锋</x:v>
      </x:c>
      <x:c r="D168" s="83" t="n">
        <x:f>G162</x:f>
        <x:v>78.58303006274306</x:v>
      </x:c>
      <x:c r="E168" s="83" t="str">
        <x:f>IF(A168=0,"GRID",IF(D168&gt;=Control!$B$17,"FINISHED",IF(AND(A168&gt;=INDEX(Drivers!$G$8:$G$13,B168),A168&lt;INDEX(Drivers!$G$8:$G$13,B168)+INDEX(Drivers!$J$8:$J$13,B168)),"PIT",IF(MOD(A168+INDEX(Drivers!$F$8:$F$13,B168),Control!$B$11)&lt;Control!$B$13,"BOOST","RACE"))))</x:f>
        <x:v>BOOST</x:v>
      </x:c>
      <x:c r="F168" s="83" t="n">
        <x:f>IF(OR(E168="GRID",E168="FINISHED",E168="PIT"),0,MAX(Control!$B$15,(INDEX(Drivers!$D$8:$D$13,B168)+INDEX(Drivers!$E$8:$E$13,B168)*SIN((A168+INDEX(Drivers!$F$8:$F$13,B168)+Control!$B$16)*Control!$B$14))*INDEX(TrackMap!$M$8:$M$141,MOD(INT(D168)-1,Control!$B$7)+1)*IF(E168="BOOST",Control!$B$12,1)))</x:f>
        <x:v>3.5259707731607883</x:v>
      </x:c>
      <x:c r="G168" s="83" t="n">
        <x:f>IF(A168=0,D168,MIN(Control!$B$17,D168+F168))</x:f>
        <x:v>82.10900083590386</x:v>
      </x:c>
      <x:c r="H168" s="73" t="n">
        <x:f>MOD(INT(G168)-1,Control!$B$7)+1</x:f>
        <x:v>82</x:v>
      </x:c>
      <x:c r="I168" s="73" t="n">
        <x:f>MIN(Control!$B$6,MAX(1,INT(MAX(0,G168)/Control!$B$7)+1))</x:f>
        <x:v>1</x:v>
      </x:c>
      <x:c r="J168" s="73" t="n">
        <x:f>INDEX(Drivers!$H$8:$H$13,B168)</x:f>
        <x:v>1</x:v>
      </x:c>
      <x:c r="K168" s="73" t="n">
        <x:f>IF(J168=1,INDEX(TrackMap!$I$8:$I$141,H168),INDEX(TrackMap!$L$8:$L$141,H168))</x:f>
        <x:v>1152</x:v>
      </x:c>
      <x:c r="L168" s="73" t="str">
        <x:f>INDEX(TrackMap!$F$8:$F$141,H168)</x:f>
        <x:v>↓</x:v>
      </x:c>
      <x:c r="M168" s="87" t="n">
        <x:f>MAX(0,G168/Control!$B$17)</x:f>
        <x:v>0.12255074751627441</x:v>
      </x:c>
      <x:c r="N168" s="73" t="n">
        <x:f>IF(N162&gt;0,N162,IF(G168&gt;=Control!$B$17,A168,0))</x:f>
        <x:v>0</x:v>
      </x:c>
      <x:c r="O168" s="91" t="n">
        <x:f>IF(N168&gt;0,Control!$B$17+Control!$B$8+1-N168,G168)-B168/100000</x:f>
        <x:v>82.10895083590385</x:v>
      </x:c>
      <x:c r="P168" s="73" t="n">
        <x:f>COUNTIF($O$164:$O$169,"&gt;"&amp;O168)+1</x:f>
        <x:v>5</x:v>
      </x:c>
      <x:c r="Q168" s="83" t="n">
        <x:f>MAX($G$164:$G$169)-G168</x:f>
        <x:v>3.766889765686912</x:v>
      </x:c>
      <x:c r="R168" s="73" t="str">
        <x:f>INDEX(TrackMap!$B$8:$B$141,H168)</x:f>
        <x:v>东侧长直道</x:v>
      </x:c>
    </x:row>
    <x:row r="169" ht="20" customHeight="1">
      <x:c r="A169" s="73" t="n">
        <x:v>26</x:v>
      </x:c>
      <x:c r="B169" s="73" t="n">
        <x:v>6</x:v>
      </x:c>
      <x:c r="C169" s="73" t="str">
        <x:f>INDEX(Drivers!$B$8:$B$13,B169)</x:f>
        <x:v>玫速</x:v>
      </x:c>
      <x:c r="D169" s="83" t="n">
        <x:f>G163</x:f>
        <x:v>76.28999568355255</x:v>
      </x:c>
      <x:c r="E169" s="83" t="str">
        <x:f>IF(A169=0,"GRID",IF(D169&gt;=Control!$B$17,"FINISHED",IF(AND(A169&gt;=INDEX(Drivers!$G$8:$G$13,B169),A169&lt;INDEX(Drivers!$G$8:$G$13,B169)+INDEX(Drivers!$J$8:$J$13,B169)),"PIT",IF(MOD(A169+INDEX(Drivers!$F$8:$F$13,B169),Control!$B$11)&lt;Control!$B$13,"BOOST","RACE"))))</x:f>
        <x:v>RACE</x:v>
      </x:c>
      <x:c r="F169" s="83" t="n">
        <x:f>IF(OR(E169="GRID",E169="FINISHED",E169="PIT"),0,MAX(Control!$B$15,(INDEX(Drivers!$D$8:$D$13,B169)+INDEX(Drivers!$E$8:$E$13,B169)*SIN((A169+INDEX(Drivers!$F$8:$F$13,B169)+Control!$B$16)*Control!$B$14))*INDEX(TrackMap!$M$8:$M$141,MOD(INT(D169)-1,Control!$B$7)+1)*IF(E169="BOOST",Control!$B$12,1)))</x:f>
        <x:v>2.8799671622382923</x:v>
      </x:c>
      <x:c r="G169" s="83" t="n">
        <x:f>IF(A169=0,D169,MIN(Control!$B$17,D169+F169))</x:f>
        <x:v>79.16996284579083</x:v>
      </x:c>
      <x:c r="H169" s="73" t="n">
        <x:f>MOD(INT(G169)-1,Control!$B$7)+1</x:f>
        <x:v>79</x:v>
      </x:c>
      <x:c r="I169" s="73" t="n">
        <x:f>MIN(Control!$B$6,MAX(1,INT(MAX(0,G169)/Control!$B$7)+1))</x:f>
        <x:v>1</x:v>
      </x:c>
      <x:c r="J169" s="73" t="n">
        <x:f>INDEX(Drivers!$H$8:$H$13,B169)</x:f>
        <x:v>2</x:v>
      </x:c>
      <x:c r="K169" s="73" t="n">
        <x:f>IF(J169=1,INDEX(TrackMap!$I$8:$I$141,H169),INDEX(TrackMap!$L$8:$L$141,H169))</x:f>
        <x:v>948</x:v>
      </x:c>
      <x:c r="L169" s="73" t="str">
        <x:f>INDEX(TrackMap!$F$8:$F$141,H169)</x:f>
        <x:v>→</x:v>
      </x:c>
      <x:c r="M169" s="87" t="n">
        <x:f>MAX(0,G169/Control!$B$17)</x:f>
        <x:v>0.11816412365043408</x:v>
      </x:c>
      <x:c r="N169" s="73" t="n">
        <x:f>IF(N163&gt;0,N163,IF(G169&gt;=Control!$B$17,A169,0))</x:f>
        <x:v>0</x:v>
      </x:c>
      <x:c r="O169" s="91" t="n">
        <x:f>IF(N169&gt;0,Control!$B$17+Control!$B$8+1-N169,G169)-B169/100000</x:f>
        <x:v>79.16990284579083</x:v>
      </x:c>
      <x:c r="P169" s="73" t="n">
        <x:f>COUNTIF($O$164:$O$169,"&gt;"&amp;O169)+1</x:f>
        <x:v>6</x:v>
      </x:c>
      <x:c r="Q169" s="83" t="n">
        <x:f>MAX($G$164:$G$169)-G169</x:f>
        <x:v>6.705927755799934</x:v>
      </x:c>
      <x:c r="R169" s="73" t="str">
        <x:f>INDEX(TrackMap!$B$8:$B$141,H169)</x:f>
        <x:v>东侧发卡弯</x:v>
      </x:c>
    </x:row>
    <x:row r="170" ht="20" customHeight="1">
      <x:c r="A170" s="73" t="n">
        <x:v>27</x:v>
      </x:c>
      <x:c r="B170" s="73" t="n">
        <x:v>1</x:v>
      </x:c>
      <x:c r="C170" s="73" t="str">
        <x:f>INDEX(Drivers!$B$8:$B$13,B170)</x:f>
        <x:v>赤焰</x:v>
      </x:c>
      <x:c r="D170" s="83" t="n">
        <x:f>G164</x:f>
        <x:v>85.17774130299667</x:v>
      </x:c>
      <x:c r="E170" s="83" t="str">
        <x:f>IF(A170=0,"GRID",IF(D170&gt;=Control!$B$17,"FINISHED",IF(AND(A170&gt;=INDEX(Drivers!$G$8:$G$13,B170),A170&lt;INDEX(Drivers!$G$8:$G$13,B170)+INDEX(Drivers!$J$8:$J$13,B170)),"PIT",IF(MOD(A170+INDEX(Drivers!$F$8:$F$13,B170),Control!$B$11)&lt;Control!$B$13,"BOOST","RACE"))))</x:f>
        <x:v>RACE</x:v>
      </x:c>
      <x:c r="F170" s="83" t="n">
        <x:f>IF(OR(E170="GRID",E170="FINISHED",E170="PIT"),0,MAX(Control!$B$15,(INDEX(Drivers!$D$8:$D$13,B170)+INDEX(Drivers!$E$8:$E$13,B170)*SIN((A170+INDEX(Drivers!$F$8:$F$13,B170)+Control!$B$16)*Control!$B$14))*INDEX(TrackMap!$M$8:$M$141,MOD(INT(D170)-1,Control!$B$7)+1)*IF(E170="BOOST",Control!$B$12,1)))</x:f>
        <x:v>3.931813402040563</x:v>
      </x:c>
      <x:c r="G170" s="83" t="n">
        <x:f>IF(A170=0,D170,MIN(Control!$B$17,D170+F170))</x:f>
        <x:v>89.10955470503723</x:v>
      </x:c>
      <x:c r="H170" s="73" t="n">
        <x:f>MOD(INT(G170)-1,Control!$B$7)+1</x:f>
        <x:v>89</x:v>
      </x:c>
      <x:c r="I170" s="73" t="n">
        <x:f>MIN(Control!$B$6,MAX(1,INT(MAX(0,G170)/Control!$B$7)+1))</x:f>
        <x:v>1</x:v>
      </x:c>
      <x:c r="J170" s="73" t="n">
        <x:f>INDEX(Drivers!$H$8:$H$13,B170)</x:f>
        <x:v>1</x:v>
      </x:c>
      <x:c r="K170" s="73" t="n">
        <x:f>IF(J170=1,INDEX(TrackMap!$I$8:$I$141,H170),INDEX(TrackMap!$L$8:$L$141,H170))</x:f>
        <x:v>1852</x:v>
      </x:c>
      <x:c r="L170" s="73" t="str">
        <x:f>INDEX(TrackMap!$F$8:$F$141,H170)</x:f>
        <x:v>↓</x:v>
      </x:c>
      <x:c r="M170" s="87" t="n">
        <x:f>MAX(0,G170/Control!$B$17)</x:f>
        <x:v>0.1329993353806526</x:v>
      </x:c>
      <x:c r="N170" s="73" t="n">
        <x:f>IF(N164&gt;0,N164,IF(G170&gt;=Control!$B$17,A170,0))</x:f>
        <x:v>0</x:v>
      </x:c>
      <x:c r="O170" s="91" t="n">
        <x:f>IF(N170&gt;0,Control!$B$17+Control!$B$8+1-N170,G170)-B170/100000</x:f>
        <x:v>89.10954470503722</x:v>
      </x:c>
      <x:c r="P170" s="73" t="n">
        <x:f>COUNTIF($O$170:$O$175,"&gt;"&amp;O170)+1</x:f>
        <x:v>1</x:v>
      </x:c>
      <x:c r="Q170" s="83" t="n">
        <x:f>MAX($G$170:$G$175)-G170</x:f>
        <x:v>0</x:v>
      </x:c>
      <x:c r="R170" s="73" t="str">
        <x:f>INDEX(TrackMap!$B$8:$B$141,H170)</x:f>
        <x:v>东侧长直道</x:v>
      </x:c>
    </x:row>
    <x:row r="171" ht="20" customHeight="1">
      <x:c r="A171" s="73" t="n">
        <x:v>27</x:v>
      </x:c>
      <x:c r="B171" s="73" t="n">
        <x:v>2</x:v>
      </x:c>
      <x:c r="C171" s="73" t="str">
        <x:f>INDEX(Drivers!$B$8:$B$13,B171)</x:f>
        <x:v>蓝电</x:v>
      </x:c>
      <x:c r="D171" s="83" t="n">
        <x:f>G165</x:f>
        <x:v>85.87589060159077</x:v>
      </x:c>
      <x:c r="E171" s="83" t="str">
        <x:f>IF(A171=0,"GRID",IF(D171&gt;=Control!$B$17,"FINISHED",IF(AND(A171&gt;=INDEX(Drivers!$G$8:$G$13,B171),A171&lt;INDEX(Drivers!$G$8:$G$13,B171)+INDEX(Drivers!$J$8:$J$13,B171)),"PIT",IF(MOD(A171+INDEX(Drivers!$F$8:$F$13,B171),Control!$B$11)&lt;Control!$B$13,"BOOST","RACE"))))</x:f>
        <x:v>RACE</x:v>
      </x:c>
      <x:c r="F171" s="83" t="n">
        <x:f>IF(OR(E171="GRID",E171="FINISHED",E171="PIT"),0,MAX(Control!$B$15,(INDEX(Drivers!$D$8:$D$13,B171)+INDEX(Drivers!$E$8:$E$13,B171)*SIN((A171+INDEX(Drivers!$F$8:$F$13,B171)+Control!$B$16)*Control!$B$14))*INDEX(TrackMap!$M$8:$M$141,MOD(INT(D171)-1,Control!$B$7)+1)*IF(E171="BOOST",Control!$B$12,1)))</x:f>
        <x:v>3.0481471316546562</x:v>
      </x:c>
      <x:c r="G171" s="83" t="n">
        <x:f>IF(A171=0,D171,MIN(Control!$B$17,D171+F171))</x:f>
        <x:v>88.92403773324543</x:v>
      </x:c>
      <x:c r="H171" s="73" t="n">
        <x:f>MOD(INT(G171)-1,Control!$B$7)+1</x:f>
        <x:v>88</x:v>
      </x:c>
      <x:c r="I171" s="73" t="n">
        <x:f>MIN(Control!$B$6,MAX(1,INT(MAX(0,G171)/Control!$B$7)+1))</x:f>
        <x:v>1</x:v>
      </x:c>
      <x:c r="J171" s="73" t="n">
        <x:f>INDEX(Drivers!$H$8:$H$13,B171)</x:f>
        <x:v>2</x:v>
      </x:c>
      <x:c r="K171" s="73" t="n">
        <x:f>IF(J171=1,INDEX(TrackMap!$I$8:$I$141,H171),INDEX(TrackMap!$L$8:$L$141,H171))</x:f>
        <x:v>1751</x:v>
      </x:c>
      <x:c r="L171" s="73" t="str">
        <x:f>INDEX(TrackMap!$F$8:$F$141,H171)</x:f>
        <x:v>↓</x:v>
      </x:c>
      <x:c r="M171" s="87" t="n">
        <x:f>MAX(0,G171/Control!$B$17)</x:f>
        <x:v>0.13272244437797825</x:v>
      </x:c>
      <x:c r="N171" s="73" t="n">
        <x:f>IF(N165&gt;0,N165,IF(G171&gt;=Control!$B$17,A171,0))</x:f>
        <x:v>0</x:v>
      </x:c>
      <x:c r="O171" s="91" t="n">
        <x:f>IF(N171&gt;0,Control!$B$17+Control!$B$8+1-N171,G171)-B171/100000</x:f>
        <x:v>88.92401773324542</x:v>
      </x:c>
      <x:c r="P171" s="73" t="n">
        <x:f>COUNTIF($O$170:$O$175,"&gt;"&amp;O171)+1</x:f>
        <x:v>2</x:v>
      </x:c>
      <x:c r="Q171" s="83" t="n">
        <x:f>MAX($G$170:$G$175)-G171</x:f>
        <x:v>0.18551697179179882</x:v>
      </x:c>
      <x:c r="R171" s="73" t="str">
        <x:f>INDEX(TrackMap!$B$8:$B$141,H171)</x:f>
        <x:v>东侧长直道</x:v>
      </x:c>
    </x:row>
    <x:row r="172" ht="20" customHeight="1">
      <x:c r="A172" s="73" t="n">
        <x:v>27</x:v>
      </x:c>
      <x:c r="B172" s="73" t="n">
        <x:v>3</x:v>
      </x:c>
      <x:c r="C172" s="73" t="str">
        <x:f>INDEX(Drivers!$B$8:$B$13,B172)</x:f>
        <x:v>金翼</x:v>
      </x:c>
      <x:c r="D172" s="83" t="n">
        <x:f>G166</x:f>
        <x:v>83.85004622957216</x:v>
      </x:c>
      <x:c r="E172" s="83" t="str">
        <x:f>IF(A172=0,"GRID",IF(D172&gt;=Control!$B$17,"FINISHED",IF(AND(A172&gt;=INDEX(Drivers!$G$8:$G$13,B172),A172&lt;INDEX(Drivers!$G$8:$G$13,B172)+INDEX(Drivers!$J$8:$J$13,B172)),"PIT",IF(MOD(A172+INDEX(Drivers!$F$8:$F$13,B172),Control!$B$11)&lt;Control!$B$13,"BOOST","RACE"))))</x:f>
        <x:v>RACE</x:v>
      </x:c>
      <x:c r="F172" s="83" t="n">
        <x:f>IF(OR(E172="GRID",E172="FINISHED",E172="PIT"),0,MAX(Control!$B$15,(INDEX(Drivers!$D$8:$D$13,B172)+INDEX(Drivers!$E$8:$E$13,B172)*SIN((A172+INDEX(Drivers!$F$8:$F$13,B172)+Control!$B$16)*Control!$B$14))*INDEX(TrackMap!$M$8:$M$141,MOD(INT(D172)-1,Control!$B$7)+1)*IF(E172="BOOST",Control!$B$12,1)))</x:f>
        <x:v>3.2750352574347934</x:v>
      </x:c>
      <x:c r="G172" s="83" t="n">
        <x:f>IF(A172=0,D172,MIN(Control!$B$17,D172+F172))</x:f>
        <x:v>87.12508148700695</x:v>
      </x:c>
      <x:c r="H172" s="73" t="n">
        <x:f>MOD(INT(G172)-1,Control!$B$7)+1</x:f>
        <x:v>87</x:v>
      </x:c>
      <x:c r="I172" s="73" t="n">
        <x:f>MIN(Control!$B$6,MAX(1,INT(MAX(0,G172)/Control!$B$7)+1))</x:f>
        <x:v>1</x:v>
      </x:c>
      <x:c r="J172" s="73" t="n">
        <x:f>INDEX(Drivers!$H$8:$H$13,B172)</x:f>
        <x:v>1</x:v>
      </x:c>
      <x:c r="K172" s="73" t="n">
        <x:f>IF(J172=1,INDEX(TrackMap!$I$8:$I$141,H172),INDEX(TrackMap!$L$8:$L$141,H172))</x:f>
        <x:v>1652</x:v>
      </x:c>
      <x:c r="L172" s="73" t="str">
        <x:f>INDEX(TrackMap!$F$8:$F$141,H172)</x:f>
        <x:v>↓</x:v>
      </x:c>
      <x:c r="M172" s="87" t="n">
        <x:f>MAX(0,G172/Control!$B$17)</x:f>
        <x:v>0.13003743505523427</x:v>
      </x:c>
      <x:c r="N172" s="73" t="n">
        <x:f>IF(N166&gt;0,N166,IF(G172&gt;=Control!$B$17,A172,0))</x:f>
        <x:v>0</x:v>
      </x:c>
      <x:c r="O172" s="91" t="n">
        <x:f>IF(N172&gt;0,Control!$B$17+Control!$B$8+1-N172,G172)-B172/100000</x:f>
        <x:v>87.12505148700696</x:v>
      </x:c>
      <x:c r="P172" s="73" t="n">
        <x:f>COUNTIF($O$170:$O$175,"&gt;"&amp;O172)+1</x:f>
        <x:v>4</x:v>
      </x:c>
      <x:c r="Q172" s="83" t="n">
        <x:f>MAX($G$170:$G$175)-G172</x:f>
        <x:v>1.9844732180302742</x:v>
      </x:c>
      <x:c r="R172" s="73" t="str">
        <x:f>INDEX(TrackMap!$B$8:$B$141,H172)</x:f>
        <x:v>东侧长直道</x:v>
      </x:c>
    </x:row>
    <x:row r="173" ht="20" customHeight="1">
      <x:c r="A173" s="73" t="n">
        <x:v>27</x:v>
      </x:c>
      <x:c r="B173" s="73" t="n">
        <x:v>4</x:v>
      </x:c>
      <x:c r="C173" s="73" t="str">
        <x:f>INDEX(Drivers!$B$8:$B$13,B173)</x:f>
        <x:v>紫影</x:v>
      </x:c>
      <x:c r="D173" s="83" t="n">
        <x:f>G167</x:f>
        <x:v>85.07475975293025</x:v>
      </x:c>
      <x:c r="E173" s="83" t="str">
        <x:f>IF(A173=0,"GRID",IF(D173&gt;=Control!$B$17,"FINISHED",IF(AND(A173&gt;=INDEX(Drivers!$G$8:$G$13,B173),A173&lt;INDEX(Drivers!$G$8:$G$13,B173)+INDEX(Drivers!$J$8:$J$13,B173)),"PIT",IF(MOD(A173+INDEX(Drivers!$F$8:$F$13,B173),Control!$B$11)&lt;Control!$B$13,"BOOST","RACE"))))</x:f>
        <x:v>RACE</x:v>
      </x:c>
      <x:c r="F173" s="83" t="n">
        <x:f>IF(OR(E173="GRID",E173="FINISHED",E173="PIT"),0,MAX(Control!$B$15,(INDEX(Drivers!$D$8:$D$13,B173)+INDEX(Drivers!$E$8:$E$13,B173)*SIN((A173+INDEX(Drivers!$F$8:$F$13,B173)+Control!$B$16)*Control!$B$14))*INDEX(TrackMap!$M$8:$M$141,MOD(INT(D173)-1,Control!$B$7)+1)*IF(E173="BOOST",Control!$B$12,1)))</x:f>
        <x:v>3.128606820232497</x:v>
      </x:c>
      <x:c r="G173" s="83" t="n">
        <x:f>IF(A173=0,D173,MIN(Control!$B$17,D173+F173))</x:f>
        <x:v>88.20336657316274</x:v>
      </x:c>
      <x:c r="H173" s="73" t="n">
        <x:f>MOD(INT(G173)-1,Control!$B$7)+1</x:f>
        <x:v>88</x:v>
      </x:c>
      <x:c r="I173" s="73" t="n">
        <x:f>MIN(Control!$B$6,MAX(1,INT(MAX(0,G173)/Control!$B$7)+1))</x:f>
        <x:v>1</x:v>
      </x:c>
      <x:c r="J173" s="73" t="n">
        <x:f>INDEX(Drivers!$H$8:$H$13,B173)</x:f>
        <x:v>2</x:v>
      </x:c>
      <x:c r="K173" s="73" t="n">
        <x:f>IF(J173=1,INDEX(TrackMap!$I$8:$I$141,H173),INDEX(TrackMap!$L$8:$L$141,H173))</x:f>
        <x:v>1751</x:v>
      </x:c>
      <x:c r="L173" s="73" t="str">
        <x:f>INDEX(TrackMap!$F$8:$F$141,H173)</x:f>
        <x:v>↓</x:v>
      </x:c>
      <x:c r="M173" s="87" t="n">
        <x:f>MAX(0,G173/Control!$B$17)</x:f>
        <x:v>0.13164681578083992</x:v>
      </x:c>
      <x:c r="N173" s="73" t="n">
        <x:f>IF(N167&gt;0,N167,IF(G173&gt;=Control!$B$17,A173,0))</x:f>
        <x:v>0</x:v>
      </x:c>
      <x:c r="O173" s="91" t="n">
        <x:f>IF(N173&gt;0,Control!$B$17+Control!$B$8+1-N173,G173)-B173/100000</x:f>
        <x:v>88.20332657316274</x:v>
      </x:c>
      <x:c r="P173" s="73" t="n">
        <x:f>COUNTIF($O$170:$O$175,"&gt;"&amp;O173)+1</x:f>
        <x:v>3</x:v>
      </x:c>
      <x:c r="Q173" s="83" t="n">
        <x:f>MAX($G$170:$G$175)-G173</x:f>
        <x:v>0.9061881318744867</x:v>
      </x:c>
      <x:c r="R173" s="73" t="str">
        <x:f>INDEX(TrackMap!$B$8:$B$141,H173)</x:f>
        <x:v>东侧长直道</x:v>
      </x:c>
    </x:row>
    <x:row r="174" ht="20" customHeight="1">
      <x:c r="A174" s="73" t="n">
        <x:v>27</x:v>
      </x:c>
      <x:c r="B174" s="73" t="n">
        <x:v>5</x:v>
      </x:c>
      <x:c r="C174" s="73" t="str">
        <x:f>INDEX(Drivers!$B$8:$B$13,B174)</x:f>
        <x:v>青锋</x:v>
      </x:c>
      <x:c r="D174" s="83" t="n">
        <x:f>G168</x:f>
        <x:v>82.10900083590386</x:v>
      </x:c>
      <x:c r="E174" s="83" t="str">
        <x:f>IF(A174=0,"GRID",IF(D174&gt;=Control!$B$17,"FINISHED",IF(AND(A174&gt;=INDEX(Drivers!$G$8:$G$13,B174),A174&lt;INDEX(Drivers!$G$8:$G$13,B174)+INDEX(Drivers!$J$8:$J$13,B174)),"PIT",IF(MOD(A174+INDEX(Drivers!$F$8:$F$13,B174),Control!$B$11)&lt;Control!$B$13,"BOOST","RACE"))))</x:f>
        <x:v>BOOST</x:v>
      </x:c>
      <x:c r="F174" s="83" t="n">
        <x:f>IF(OR(E174="GRID",E174="FINISHED",E174="PIT"),0,MAX(Control!$B$15,(INDEX(Drivers!$D$8:$D$13,B174)+INDEX(Drivers!$E$8:$E$13,B174)*SIN((A174+INDEX(Drivers!$F$8:$F$13,B174)+Control!$B$16)*Control!$B$14))*INDEX(TrackMap!$M$8:$M$141,MOD(INT(D174)-1,Control!$B$7)+1)*IF(E174="BOOST",Control!$B$12,1)))</x:f>
        <x:v>3.3795466530831666</x:v>
      </x:c>
      <x:c r="G174" s="83" t="n">
        <x:f>IF(A174=0,D174,MIN(Control!$B$17,D174+F174))</x:f>
        <x:v>85.48854748898702</x:v>
      </x:c>
      <x:c r="H174" s="73" t="n">
        <x:f>MOD(INT(G174)-1,Control!$B$7)+1</x:f>
        <x:v>85</x:v>
      </x:c>
      <x:c r="I174" s="73" t="n">
        <x:f>MIN(Control!$B$6,MAX(1,INT(MAX(0,G174)/Control!$B$7)+1))</x:f>
        <x:v>1</x:v>
      </x:c>
      <x:c r="J174" s="73" t="n">
        <x:f>INDEX(Drivers!$H$8:$H$13,B174)</x:f>
        <x:v>1</x:v>
      </x:c>
      <x:c r="K174" s="73" t="n">
        <x:f>IF(J174=1,INDEX(TrackMap!$I$8:$I$141,H174),INDEX(TrackMap!$L$8:$L$141,H174))</x:f>
        <x:v>1452</x:v>
      </x:c>
      <x:c r="L174" s="73" t="str">
        <x:f>INDEX(TrackMap!$F$8:$F$141,H174)</x:f>
        <x:v>↓</x:v>
      </x:c>
      <x:c r="M174" s="87" t="n">
        <x:f>MAX(0,G174/Control!$B$17)</x:f>
        <x:v>0.12759484699848808</x:v>
      </x:c>
      <x:c r="N174" s="73" t="n">
        <x:f>IF(N168&gt;0,N168,IF(G174&gt;=Control!$B$17,A174,0))</x:f>
        <x:v>0</x:v>
      </x:c>
      <x:c r="O174" s="91" t="n">
        <x:f>IF(N174&gt;0,Control!$B$17+Control!$B$8+1-N174,G174)-B174/100000</x:f>
        <x:v>85.48849748898702</x:v>
      </x:c>
      <x:c r="P174" s="73" t="n">
        <x:f>COUNTIF($O$170:$O$175,"&gt;"&amp;O174)+1</x:f>
        <x:v>5</x:v>
      </x:c>
      <x:c r="Q174" s="83" t="n">
        <x:f>MAX($G$170:$G$175)-G174</x:f>
        <x:v>3.6210072160502023</x:v>
      </x:c>
      <x:c r="R174" s="73" t="str">
        <x:f>INDEX(TrackMap!$B$8:$B$141,H174)</x:f>
        <x:v>东侧长直道</x:v>
      </x:c>
    </x:row>
    <x:row r="175" ht="20" customHeight="1">
      <x:c r="A175" s="73" t="n">
        <x:v>27</x:v>
      </x:c>
      <x:c r="B175" s="73" t="n">
        <x:v>6</x:v>
      </x:c>
      <x:c r="C175" s="73" t="str">
        <x:f>INDEX(Drivers!$B$8:$B$13,B175)</x:f>
        <x:v>玫速</x:v>
      </x:c>
      <x:c r="D175" s="83" t="n">
        <x:f>G169</x:f>
        <x:v>79.16996284579083</x:v>
      </x:c>
      <x:c r="E175" s="83" t="str">
        <x:f>IF(A175=0,"GRID",IF(D175&gt;=Control!$B$17,"FINISHED",IF(AND(A175&gt;=INDEX(Drivers!$G$8:$G$13,B175),A175&lt;INDEX(Drivers!$G$8:$G$13,B175)+INDEX(Drivers!$J$8:$J$13,B175)),"PIT",IF(MOD(A175+INDEX(Drivers!$F$8:$F$13,B175),Control!$B$11)&lt;Control!$B$13,"BOOST","RACE"))))</x:f>
        <x:v>RACE</x:v>
      </x:c>
      <x:c r="F175" s="83" t="n">
        <x:f>IF(OR(E175="GRID",E175="FINISHED",E175="PIT"),0,MAX(Control!$B$15,(INDEX(Drivers!$D$8:$D$13,B175)+INDEX(Drivers!$E$8:$E$13,B175)*SIN((A175+INDEX(Drivers!$F$8:$F$13,B175)+Control!$B$16)*Control!$B$14))*INDEX(TrackMap!$M$8:$M$141,MOD(INT(D175)-1,Control!$B$7)+1)*IF(E175="BOOST",Control!$B$12,1)))</x:f>
        <x:v>3.0485203833929955</x:v>
      </x:c>
      <x:c r="G175" s="83" t="n">
        <x:f>IF(A175=0,D175,MIN(Control!$B$17,D175+F175))</x:f>
        <x:v>82.21848322918383</x:v>
      </x:c>
      <x:c r="H175" s="73" t="n">
        <x:f>MOD(INT(G175)-1,Control!$B$7)+1</x:f>
        <x:v>82</x:v>
      </x:c>
      <x:c r="I175" s="73" t="n">
        <x:f>MIN(Control!$B$6,MAX(1,INT(MAX(0,G175)/Control!$B$7)+1))</x:f>
        <x:v>1</x:v>
      </x:c>
      <x:c r="J175" s="73" t="n">
        <x:f>INDEX(Drivers!$H$8:$H$13,B175)</x:f>
        <x:v>2</x:v>
      </x:c>
      <x:c r="K175" s="73" t="n">
        <x:f>IF(J175=1,INDEX(TrackMap!$I$8:$I$141,H175),INDEX(TrackMap!$L$8:$L$141,H175))</x:f>
        <x:v>1151</x:v>
      </x:c>
      <x:c r="L175" s="73" t="str">
        <x:f>INDEX(TrackMap!$F$8:$F$141,H175)</x:f>
        <x:v>↓</x:v>
      </x:c>
      <x:c r="M175" s="87" t="n">
        <x:f>MAX(0,G175/Control!$B$17)</x:f>
        <x:v>0.1227141540734087</x:v>
      </x:c>
      <x:c r="N175" s="73" t="n">
        <x:f>IF(N169&gt;0,N169,IF(G175&gt;=Control!$B$17,A175,0))</x:f>
        <x:v>0</x:v>
      </x:c>
      <x:c r="O175" s="91" t="n">
        <x:f>IF(N175&gt;0,Control!$B$17+Control!$B$8+1-N175,G175)-B175/100000</x:f>
        <x:v>82.21842322918383</x:v>
      </x:c>
      <x:c r="P175" s="73" t="n">
        <x:f>COUNTIF($O$170:$O$175,"&gt;"&amp;O175)+1</x:f>
        <x:v>6</x:v>
      </x:c>
      <x:c r="Q175" s="83" t="n">
        <x:f>MAX($G$170:$G$175)-G175</x:f>
        <x:v>6.891071475853394</x:v>
      </x:c>
      <x:c r="R175" s="73" t="str">
        <x:f>INDEX(TrackMap!$B$8:$B$141,H175)</x:f>
        <x:v>东侧长直道</x:v>
      </x:c>
    </x:row>
    <x:row r="176" ht="20" customHeight="1">
      <x:c r="A176" s="73" t="n">
        <x:v>28</x:v>
      </x:c>
      <x:c r="B176" s="73" t="n">
        <x:v>1</x:v>
      </x:c>
      <x:c r="C176" s="73" t="str">
        <x:f>INDEX(Drivers!$B$8:$B$13,B176)</x:f>
        <x:v>赤焰</x:v>
      </x:c>
      <x:c r="D176" s="83" t="n">
        <x:f>G170</x:f>
        <x:v>89.10955470503723</x:v>
      </x:c>
      <x:c r="E176" s="83" t="str">
        <x:f>IF(A176=0,"GRID",IF(D176&gt;=Control!$B$17,"FINISHED",IF(AND(A176&gt;=INDEX(Drivers!$G$8:$G$13,B176),A176&lt;INDEX(Drivers!$G$8:$G$13,B176)+INDEX(Drivers!$J$8:$J$13,B176)),"PIT",IF(MOD(A176+INDEX(Drivers!$F$8:$F$13,B176),Control!$B$11)&lt;Control!$B$13,"BOOST","RACE"))))</x:f>
        <x:v>BOOST</x:v>
      </x:c>
      <x:c r="F176" s="83" t="n">
        <x:f>IF(OR(E176="GRID",E176="FINISHED",E176="PIT"),0,MAX(Control!$B$15,(INDEX(Drivers!$D$8:$D$13,B176)+INDEX(Drivers!$E$8:$E$13,B176)*SIN((A176+INDEX(Drivers!$F$8:$F$13,B176)+Control!$B$16)*Control!$B$14))*INDEX(TrackMap!$M$8:$M$141,MOD(INT(D176)-1,Control!$B$7)+1)*IF(E176="BOOST",Control!$B$12,1)))</x:f>
        <x:v>5.051627160891676</x:v>
      </x:c>
      <x:c r="G176" s="83" t="n">
        <x:f>IF(A176=0,D176,MIN(Control!$B$17,D176+F176))</x:f>
        <x:v>94.1611818659289</x:v>
      </x:c>
      <x:c r="H176" s="73" t="n">
        <x:f>MOD(INT(G176)-1,Control!$B$7)+1</x:f>
        <x:v>94</x:v>
      </x:c>
      <x:c r="I176" s="73" t="n">
        <x:f>MIN(Control!$B$6,MAX(1,INT(MAX(0,G176)/Control!$B$7)+1))</x:f>
        <x:v>1</x:v>
      </x:c>
      <x:c r="J176" s="73" t="n">
        <x:f>INDEX(Drivers!$H$8:$H$13,B176)</x:f>
        <x:v>1</x:v>
      </x:c>
      <x:c r="K176" s="73" t="n">
        <x:f>IF(J176=1,INDEX(TrackMap!$I$8:$I$141,H176),INDEX(TrackMap!$L$8:$L$141,H176))</x:f>
        <x:v>2352</x:v>
      </x:c>
      <x:c r="L176" s="73" t="str">
        <x:f>INDEX(TrackMap!$F$8:$F$141,H176)</x:f>
        <x:v>↓</x:v>
      </x:c>
      <x:c r="M176" s="87" t="n">
        <x:f>MAX(0,G176/Control!$B$17)</x:f>
        <x:v>0.14053907741183416</x:v>
      </x:c>
      <x:c r="N176" s="73" t="n">
        <x:f>IF(N170&gt;0,N170,IF(G176&gt;=Control!$B$17,A176,0))</x:f>
        <x:v>0</x:v>
      </x:c>
      <x:c r="O176" s="91" t="n">
        <x:f>IF(N176&gt;0,Control!$B$17+Control!$B$8+1-N176,G176)-B176/100000</x:f>
        <x:v>94.16117186592889</x:v>
      </x:c>
      <x:c r="P176" s="73" t="n">
        <x:f>COUNTIF($O$176:$O$181,"&gt;"&amp;O176)+1</x:f>
        <x:v>1</x:v>
      </x:c>
      <x:c r="Q176" s="83" t="n">
        <x:f>MAX($G$176:$G$181)-G176</x:f>
        <x:v>0</x:v>
      </x:c>
      <x:c r="R176" s="73" t="str">
        <x:f>INDEX(TrackMap!$B$8:$B$141,H176)</x:f>
        <x:v>东侧长直道</x:v>
      </x:c>
    </x:row>
    <x:row r="177" ht="20" customHeight="1">
      <x:c r="A177" s="73" t="n">
        <x:v>28</x:v>
      </x:c>
      <x:c r="B177" s="73" t="n">
        <x:v>2</x:v>
      </x:c>
      <x:c r="C177" s="73" t="str">
        <x:f>INDEX(Drivers!$B$8:$B$13,B177)</x:f>
        <x:v>蓝电</x:v>
      </x:c>
      <x:c r="D177" s="83" t="n">
        <x:f>G171</x:f>
        <x:v>88.92403773324543</x:v>
      </x:c>
      <x:c r="E177" s="83" t="str">
        <x:f>IF(A177=0,"GRID",IF(D177&gt;=Control!$B$17,"FINISHED",IF(AND(A177&gt;=INDEX(Drivers!$G$8:$G$13,B177),A177&lt;INDEX(Drivers!$G$8:$G$13,B177)+INDEX(Drivers!$J$8:$J$13,B177)),"PIT",IF(MOD(A177+INDEX(Drivers!$F$8:$F$13,B177),Control!$B$11)&lt;Control!$B$13,"BOOST","RACE"))))</x:f>
        <x:v>RACE</x:v>
      </x:c>
      <x:c r="F177" s="83" t="n">
        <x:f>IF(OR(E177="GRID",E177="FINISHED",E177="PIT"),0,MAX(Control!$B$15,(INDEX(Drivers!$D$8:$D$13,B177)+INDEX(Drivers!$E$8:$E$13,B177)*SIN((A177+INDEX(Drivers!$F$8:$F$13,B177)+Control!$B$16)*Control!$B$14))*INDEX(TrackMap!$M$8:$M$141,MOD(INT(D177)-1,Control!$B$7)+1)*IF(E177="BOOST",Control!$B$12,1)))</x:f>
        <x:v>3.1845695522596613</x:v>
      </x:c>
      <x:c r="G177" s="83" t="n">
        <x:f>IF(A177=0,D177,MIN(Control!$B$17,D177+F177))</x:f>
        <x:v>92.10860728550509</x:v>
      </x:c>
      <x:c r="H177" s="73" t="n">
        <x:f>MOD(INT(G177)-1,Control!$B$7)+1</x:f>
        <x:v>92</x:v>
      </x:c>
      <x:c r="I177" s="73" t="n">
        <x:f>MIN(Control!$B$6,MAX(1,INT(MAX(0,G177)/Control!$B$7)+1))</x:f>
        <x:v>1</x:v>
      </x:c>
      <x:c r="J177" s="73" t="n">
        <x:f>INDEX(Drivers!$H$8:$H$13,B177)</x:f>
        <x:v>2</x:v>
      </x:c>
      <x:c r="K177" s="73" t="n">
        <x:f>IF(J177=1,INDEX(TrackMap!$I$8:$I$141,H177),INDEX(TrackMap!$L$8:$L$141,H177))</x:f>
        <x:v>2151</x:v>
      </x:c>
      <x:c r="L177" s="73" t="str">
        <x:f>INDEX(TrackMap!$F$8:$F$141,H177)</x:f>
        <x:v>↓</x:v>
      </x:c>
      <x:c r="M177" s="87" t="n">
        <x:f>MAX(0,G177/Control!$B$17)</x:f>
        <x:v>0.1374755332619479</x:v>
      </x:c>
      <x:c r="N177" s="73" t="n">
        <x:f>IF(N171&gt;0,N171,IF(G177&gt;=Control!$B$17,A177,0))</x:f>
        <x:v>0</x:v>
      </x:c>
      <x:c r="O177" s="91" t="n">
        <x:f>IF(N177&gt;0,Control!$B$17+Control!$B$8+1-N177,G177)-B177/100000</x:f>
        <x:v>92.10858728550508</x:v>
      </x:c>
      <x:c r="P177" s="73" t="n">
        <x:f>COUNTIF($O$176:$O$181,"&gt;"&amp;O177)+1</x:f>
        <x:v>2</x:v>
      </x:c>
      <x:c r="Q177" s="83" t="n">
        <x:f>MAX($G$176:$G$181)-G177</x:f>
        <x:v>2.0525745804238085</x:v>
      </x:c>
      <x:c r="R177" s="73" t="str">
        <x:f>INDEX(TrackMap!$B$8:$B$141,H177)</x:f>
        <x:v>东侧长直道</x:v>
      </x:c>
    </x:row>
    <x:row r="178" ht="20" customHeight="1">
      <x:c r="A178" s="73" t="n">
        <x:v>28</x:v>
      </x:c>
      <x:c r="B178" s="73" t="n">
        <x:v>3</x:v>
      </x:c>
      <x:c r="C178" s="73" t="str">
        <x:f>INDEX(Drivers!$B$8:$B$13,B178)</x:f>
        <x:v>金翼</x:v>
      </x:c>
      <x:c r="D178" s="83" t="n">
        <x:f>G172</x:f>
        <x:v>87.12508148700695</x:v>
      </x:c>
      <x:c r="E178" s="83" t="str">
        <x:f>IF(A178=0,"GRID",IF(D178&gt;=Control!$B$17,"FINISHED",IF(AND(A178&gt;=INDEX(Drivers!$G$8:$G$13,B178),A178&lt;INDEX(Drivers!$G$8:$G$13,B178)+INDEX(Drivers!$J$8:$J$13,B178)),"PIT",IF(MOD(A178+INDEX(Drivers!$F$8:$F$13,B178),Control!$B$11)&lt;Control!$B$13,"BOOST","RACE"))))</x:f>
        <x:v>RACE</x:v>
      </x:c>
      <x:c r="F178" s="83" t="n">
        <x:f>IF(OR(E178="GRID",E178="FINISHED",E178="PIT"),0,MAX(Control!$B$15,(INDEX(Drivers!$D$8:$D$13,B178)+INDEX(Drivers!$E$8:$E$13,B178)*SIN((A178+INDEX(Drivers!$F$8:$F$13,B178)+Control!$B$16)*Control!$B$14))*INDEX(TrackMap!$M$8:$M$141,MOD(INT(D178)-1,Control!$B$7)+1)*IF(E178="BOOST",Control!$B$12,1)))</x:f>
        <x:v>4.177720263177634</x:v>
      </x:c>
      <x:c r="G178" s="83" t="n">
        <x:f>IF(A178=0,D178,MIN(Control!$B$17,D178+F178))</x:f>
        <x:v>91.30280175018459</x:v>
      </x:c>
      <x:c r="H178" s="73" t="n">
        <x:f>MOD(INT(G178)-1,Control!$B$7)+1</x:f>
        <x:v>91</x:v>
      </x:c>
      <x:c r="I178" s="73" t="n">
        <x:f>MIN(Control!$B$6,MAX(1,INT(MAX(0,G178)/Control!$B$7)+1))</x:f>
        <x:v>1</x:v>
      </x:c>
      <x:c r="J178" s="73" t="n">
        <x:f>INDEX(Drivers!$H$8:$H$13,B178)</x:f>
        <x:v>1</x:v>
      </x:c>
      <x:c r="K178" s="73" t="n">
        <x:f>IF(J178=1,INDEX(TrackMap!$I$8:$I$141,H178),INDEX(TrackMap!$L$8:$L$141,H178))</x:f>
        <x:v>2052</x:v>
      </x:c>
      <x:c r="L178" s="73" t="str">
        <x:f>INDEX(TrackMap!$F$8:$F$141,H178)</x:f>
        <x:v>↓</x:v>
      </x:c>
      <x:c r="M178" s="87" t="n">
        <x:f>MAX(0,G178/Control!$B$17)</x:f>
        <x:v>0.13627283843311133</x:v>
      </x:c>
      <x:c r="N178" s="73" t="n">
        <x:f>IF(N172&gt;0,N172,IF(G178&gt;=Control!$B$17,A178,0))</x:f>
        <x:v>0</x:v>
      </x:c>
      <x:c r="O178" s="91" t="n">
        <x:f>IF(N178&gt;0,Control!$B$17+Control!$B$8+1-N178,G178)-B178/100000</x:f>
        <x:v>91.30277175018459</x:v>
      </x:c>
      <x:c r="P178" s="73" t="n">
        <x:f>COUNTIF($O$176:$O$181,"&gt;"&amp;O178)+1</x:f>
        <x:v>3</x:v>
      </x:c>
      <x:c r="Q178" s="83" t="n">
        <x:f>MAX($G$176:$G$181)-G178</x:f>
        <x:v>2.8583801157443105</x:v>
      </x:c>
      <x:c r="R178" s="73" t="str">
        <x:f>INDEX(TrackMap!$B$8:$B$141,H178)</x:f>
        <x:v>东侧长直道</x:v>
      </x:c>
    </x:row>
    <x:row r="179" ht="20" customHeight="1">
      <x:c r="A179" s="73" t="n">
        <x:v>28</x:v>
      </x:c>
      <x:c r="B179" s="73" t="n">
        <x:v>4</x:v>
      </x:c>
      <x:c r="C179" s="73" t="str">
        <x:f>INDEX(Drivers!$B$8:$B$13,B179)</x:f>
        <x:v>紫影</x:v>
      </x:c>
      <x:c r="D179" s="83" t="n">
        <x:f>G173</x:f>
        <x:v>88.20336657316274</x:v>
      </x:c>
      <x:c r="E179" s="83" t="str">
        <x:f>IF(A179=0,"GRID",IF(D179&gt;=Control!$B$17,"FINISHED",IF(AND(A179&gt;=INDEX(Drivers!$G$8:$G$13,B179),A179&lt;INDEX(Drivers!$G$8:$G$13,B179)+INDEX(Drivers!$J$8:$J$13,B179)),"PIT",IF(MOD(A179+INDEX(Drivers!$F$8:$F$13,B179),Control!$B$11)&lt;Control!$B$13,"BOOST","RACE"))))</x:f>
        <x:v>RACE</x:v>
      </x:c>
      <x:c r="F179" s="83" t="n">
        <x:f>IF(OR(E179="GRID",E179="FINISHED",E179="PIT"),0,MAX(Control!$B$15,(INDEX(Drivers!$D$8:$D$13,B179)+INDEX(Drivers!$E$8:$E$13,B179)*SIN((A179+INDEX(Drivers!$F$8:$F$13,B179)+Control!$B$16)*Control!$B$14))*INDEX(TrackMap!$M$8:$M$141,MOD(INT(D179)-1,Control!$B$7)+1)*IF(E179="BOOST",Control!$B$12,1)))</x:f>
        <x:v>3.038310940429133</x:v>
      </x:c>
      <x:c r="G179" s="83" t="n">
        <x:f>IF(A179=0,D179,MIN(Control!$B$17,D179+F179))</x:f>
        <x:v>91.24167751359187</x:v>
      </x:c>
      <x:c r="H179" s="73" t="n">
        <x:f>MOD(INT(G179)-1,Control!$B$7)+1</x:f>
        <x:v>91</x:v>
      </x:c>
      <x:c r="I179" s="73" t="n">
        <x:f>MIN(Control!$B$6,MAX(1,INT(MAX(0,G179)/Control!$B$7)+1))</x:f>
        <x:v>1</x:v>
      </x:c>
      <x:c r="J179" s="73" t="n">
        <x:f>INDEX(Drivers!$H$8:$H$13,B179)</x:f>
        <x:v>2</x:v>
      </x:c>
      <x:c r="K179" s="73" t="n">
        <x:f>IF(J179=1,INDEX(TrackMap!$I$8:$I$141,H179),INDEX(TrackMap!$L$8:$L$141,H179))</x:f>
        <x:v>2051</x:v>
      </x:c>
      <x:c r="L179" s="73" t="str">
        <x:f>INDEX(TrackMap!$F$8:$F$141,H179)</x:f>
        <x:v>↓</x:v>
      </x:c>
      <x:c r="M179" s="87" t="n">
        <x:f>MAX(0,G179/Control!$B$17)</x:f>
        <x:v>0.13618160822924158</x:v>
      </x:c>
      <x:c r="N179" s="73" t="n">
        <x:f>IF(N173&gt;0,N173,IF(G179&gt;=Control!$B$17,A179,0))</x:f>
        <x:v>0</x:v>
      </x:c>
      <x:c r="O179" s="91" t="n">
        <x:f>IF(N179&gt;0,Control!$B$17+Control!$B$8+1-N179,G179)-B179/100000</x:f>
        <x:v>91.24163751359187</x:v>
      </x:c>
      <x:c r="P179" s="73" t="n">
        <x:f>COUNTIF($O$176:$O$181,"&gt;"&amp;O179)+1</x:f>
        <x:v>4</x:v>
      </x:c>
      <x:c r="Q179" s="83" t="n">
        <x:f>MAX($G$176:$G$181)-G179</x:f>
        <x:v>2.9195043523370288</x:v>
      </x:c>
      <x:c r="R179" s="73" t="str">
        <x:f>INDEX(TrackMap!$B$8:$B$141,H179)</x:f>
        <x:v>东侧长直道</x:v>
      </x:c>
    </x:row>
    <x:row r="180" ht="20" customHeight="1">
      <x:c r="A180" s="73" t="n">
        <x:v>28</x:v>
      </x:c>
      <x:c r="B180" s="73" t="n">
        <x:v>5</x:v>
      </x:c>
      <x:c r="C180" s="73" t="str">
        <x:f>INDEX(Drivers!$B$8:$B$13,B180)</x:f>
        <x:v>青锋</x:v>
      </x:c>
      <x:c r="D180" s="83" t="n">
        <x:f>G174</x:f>
        <x:v>85.48854748898702</x:v>
      </x:c>
      <x:c r="E180" s="83" t="str">
        <x:f>IF(A180=0,"GRID",IF(D180&gt;=Control!$B$17,"FINISHED",IF(AND(A180&gt;=INDEX(Drivers!$G$8:$G$13,B180),A180&lt;INDEX(Drivers!$G$8:$G$13,B180)+INDEX(Drivers!$J$8:$J$13,B180)),"PIT",IF(MOD(A180+INDEX(Drivers!$F$8:$F$13,B180),Control!$B$11)&lt;Control!$B$13,"BOOST","RACE"))))</x:f>
        <x:v>BOOST</x:v>
      </x:c>
      <x:c r="F180" s="83" t="n">
        <x:f>IF(OR(E180="GRID",E180="FINISHED",E180="PIT"),0,MAX(Control!$B$15,(INDEX(Drivers!$D$8:$D$13,B180)+INDEX(Drivers!$E$8:$E$13,B180)*SIN((A180+INDEX(Drivers!$F$8:$F$13,B180)+Control!$B$16)*Control!$B$14))*INDEX(TrackMap!$M$8:$M$141,MOD(INT(D180)-1,Control!$B$7)+1)*IF(E180="BOOST",Control!$B$12,1)))</x:f>
        <x:v>4.22187090069062</x:v>
      </x:c>
      <x:c r="G180" s="83" t="n">
        <x:f>IF(A180=0,D180,MIN(Control!$B$17,D180+F180))</x:f>
        <x:v>89.71041838967764</x:v>
      </x:c>
      <x:c r="H180" s="73" t="n">
        <x:f>MOD(INT(G180)-1,Control!$B$7)+1</x:f>
        <x:v>89</x:v>
      </x:c>
      <x:c r="I180" s="73" t="n">
        <x:f>MIN(Control!$B$6,MAX(1,INT(MAX(0,G180)/Control!$B$7)+1))</x:f>
        <x:v>1</x:v>
      </x:c>
      <x:c r="J180" s="73" t="n">
        <x:f>INDEX(Drivers!$H$8:$H$13,B180)</x:f>
        <x:v>1</x:v>
      </x:c>
      <x:c r="K180" s="73" t="n">
        <x:f>IF(J180=1,INDEX(TrackMap!$I$8:$I$141,H180),INDEX(TrackMap!$L$8:$L$141,H180))</x:f>
        <x:v>1852</x:v>
      </x:c>
      <x:c r="L180" s="73" t="str">
        <x:f>INDEX(TrackMap!$F$8:$F$141,H180)</x:f>
        <x:v>↓</x:v>
      </x:c>
      <x:c r="M180" s="87" t="n">
        <x:f>MAX(0,G180/Control!$B$17)</x:f>
        <x:v>0.13389614685026513</x:v>
      </x:c>
      <x:c r="N180" s="73" t="n">
        <x:f>IF(N174&gt;0,N174,IF(G180&gt;=Control!$B$17,A180,0))</x:f>
        <x:v>0</x:v>
      </x:c>
      <x:c r="O180" s="91" t="n">
        <x:f>IF(N180&gt;0,Control!$B$17+Control!$B$8+1-N180,G180)-B180/100000</x:f>
        <x:v>89.71036838967764</x:v>
      </x:c>
      <x:c r="P180" s="73" t="n">
        <x:f>COUNTIF($O$176:$O$181,"&gt;"&amp;O180)+1</x:f>
        <x:v>5</x:v>
      </x:c>
      <x:c r="Q180" s="83" t="n">
        <x:f>MAX($G$176:$G$181)-G180</x:f>
        <x:v>4.450763476251254</x:v>
      </x:c>
      <x:c r="R180" s="73" t="str">
        <x:f>INDEX(TrackMap!$B$8:$B$141,H180)</x:f>
        <x:v>东侧长直道</x:v>
      </x:c>
    </x:row>
    <x:row r="181" ht="20" customHeight="1">
      <x:c r="A181" s="73" t="n">
        <x:v>28</x:v>
      </x:c>
      <x:c r="B181" s="73" t="n">
        <x:v>6</x:v>
      </x:c>
      <x:c r="C181" s="73" t="str">
        <x:f>INDEX(Drivers!$B$8:$B$13,B181)</x:f>
        <x:v>玫速</x:v>
      </x:c>
      <x:c r="D181" s="83" t="n">
        <x:f>G175</x:f>
        <x:v>82.21848322918383</x:v>
      </x:c>
      <x:c r="E181" s="83" t="str">
        <x:f>IF(A181=0,"GRID",IF(D181&gt;=Control!$B$17,"FINISHED",IF(AND(A181&gt;=INDEX(Drivers!$G$8:$G$13,B181),A181&lt;INDEX(Drivers!$G$8:$G$13,B181)+INDEX(Drivers!$J$8:$J$13,B181)),"PIT",IF(MOD(A181+INDEX(Drivers!$F$8:$F$13,B181),Control!$B$11)&lt;Control!$B$13,"BOOST","RACE"))))</x:f>
        <x:v>RACE</x:v>
      </x:c>
      <x:c r="F181" s="83" t="n">
        <x:f>IF(OR(E181="GRID",E181="FINISHED",E181="PIT"),0,MAX(Control!$B$15,(INDEX(Drivers!$D$8:$D$13,B181)+INDEX(Drivers!$E$8:$E$13,B181)*SIN((A181+INDEX(Drivers!$F$8:$F$13,B181)+Control!$B$16)*Control!$B$14))*INDEX(TrackMap!$M$8:$M$141,MOD(INT(D181)-1,Control!$B$7)+1)*IF(E181="BOOST",Control!$B$12,1)))</x:f>
        <x:v>3.1929658462559503</x:v>
      </x:c>
      <x:c r="G181" s="83" t="n">
        <x:f>IF(A181=0,D181,MIN(Control!$B$17,D181+F181))</x:f>
        <x:v>85.41144907543978</x:v>
      </x:c>
      <x:c r="H181" s="73" t="n">
        <x:f>MOD(INT(G181)-1,Control!$B$7)+1</x:f>
        <x:v>85</x:v>
      </x:c>
      <x:c r="I181" s="73" t="n">
        <x:f>MIN(Control!$B$6,MAX(1,INT(MAX(0,G181)/Control!$B$7)+1))</x:f>
        <x:v>1</x:v>
      </x:c>
      <x:c r="J181" s="73" t="n">
        <x:f>INDEX(Drivers!$H$8:$H$13,B181)</x:f>
        <x:v>2</x:v>
      </x:c>
      <x:c r="K181" s="73" t="n">
        <x:f>IF(J181=1,INDEX(TrackMap!$I$8:$I$141,H181),INDEX(TrackMap!$L$8:$L$141,H181))</x:f>
        <x:v>1451</x:v>
      </x:c>
      <x:c r="L181" s="73" t="str">
        <x:f>INDEX(TrackMap!$F$8:$F$141,H181)</x:f>
        <x:v>↓</x:v>
      </x:c>
      <x:c r="M181" s="87" t="n">
        <x:f>MAX(0,G181/Control!$B$17)</x:f>
        <x:v>0.12747977473946234</x:v>
      </x:c>
      <x:c r="N181" s="73" t="n">
        <x:f>IF(N175&gt;0,N175,IF(G181&gt;=Control!$B$17,A181,0))</x:f>
        <x:v>0</x:v>
      </x:c>
      <x:c r="O181" s="91" t="n">
        <x:f>IF(N181&gt;0,Control!$B$17+Control!$B$8+1-N181,G181)-B181/100000</x:f>
        <x:v>85.41138907543977</x:v>
      </x:c>
      <x:c r="P181" s="73" t="n">
        <x:f>COUNTIF($O$176:$O$181,"&gt;"&amp;O181)+1</x:f>
        <x:v>6</x:v>
      </x:c>
      <x:c r="Q181" s="83" t="n">
        <x:f>MAX($G$176:$G$181)-G181</x:f>
        <x:v>8.74973279048912</x:v>
      </x:c>
      <x:c r="R181" s="73" t="str">
        <x:f>INDEX(TrackMap!$B$8:$B$141,H181)</x:f>
        <x:v>东侧长直道</x:v>
      </x:c>
    </x:row>
    <x:row r="182" ht="20" customHeight="1">
      <x:c r="A182" s="73" t="n">
        <x:v>29</x:v>
      </x:c>
      <x:c r="B182" s="73" t="n">
        <x:v>1</x:v>
      </x:c>
      <x:c r="C182" s="73" t="str">
        <x:f>INDEX(Drivers!$B$8:$B$13,B182)</x:f>
        <x:v>赤焰</x:v>
      </x:c>
      <x:c r="D182" s="83" t="n">
        <x:f>G176</x:f>
        <x:v>94.1611818659289</x:v>
      </x:c>
      <x:c r="E182" s="83" t="str">
        <x:f>IF(A182=0,"GRID",IF(D182&gt;=Control!$B$17,"FINISHED",IF(AND(A182&gt;=INDEX(Drivers!$G$8:$G$13,B182),A182&lt;INDEX(Drivers!$G$8:$G$13,B182)+INDEX(Drivers!$J$8:$J$13,B182)),"PIT",IF(MOD(A182+INDEX(Drivers!$F$8:$F$13,B182),Control!$B$11)&lt;Control!$B$13,"BOOST","RACE"))))</x:f>
        <x:v>BOOST</x:v>
      </x:c>
      <x:c r="F182" s="83" t="n">
        <x:f>IF(OR(E182="GRID",E182="FINISHED",E182="PIT"),0,MAX(Control!$B$15,(INDEX(Drivers!$D$8:$D$13,B182)+INDEX(Drivers!$E$8:$E$13,B182)*SIN((A182+INDEX(Drivers!$F$8:$F$13,B182)+Control!$B$16)*Control!$B$14))*INDEX(TrackMap!$M$8:$M$141,MOD(INT(D182)-1,Control!$B$7)+1)*IF(E182="BOOST",Control!$B$12,1)))</x:f>
        <x:v>4.778506200108738</x:v>
      </x:c>
      <x:c r="G182" s="83" t="n">
        <x:f>IF(A182=0,D182,MIN(Control!$B$17,D182+F182))</x:f>
        <x:v>98.93968806603763</x:v>
      </x:c>
      <x:c r="H182" s="73" t="n">
        <x:f>MOD(INT(G182)-1,Control!$B$7)+1</x:f>
        <x:v>98</x:v>
      </x:c>
      <x:c r="I182" s="73" t="n">
        <x:f>MIN(Control!$B$6,MAX(1,INT(MAX(0,G182)/Control!$B$7)+1))</x:f>
        <x:v>1</x:v>
      </x:c>
      <x:c r="J182" s="73" t="n">
        <x:f>INDEX(Drivers!$H$8:$H$13,B182)</x:f>
        <x:v>1</x:v>
      </x:c>
      <x:c r="K182" s="73" t="n">
        <x:f>IF(J182=1,INDEX(TrackMap!$I$8:$I$141,H182),INDEX(TrackMap!$L$8:$L$141,H182))</x:f>
        <x:v>2752</x:v>
      </x:c>
      <x:c r="L182" s="73" t="str">
        <x:f>INDEX(TrackMap!$F$8:$F$141,H182)</x:f>
        <x:v>↓</x:v>
      </x:c>
      <x:c r="M182" s="87" t="n">
        <x:f>MAX(0,G182/Control!$B$17)</x:f>
        <x:v>0.1476711762179666</x:v>
      </x:c>
      <x:c r="N182" s="73" t="n">
        <x:f>IF(N176&gt;0,N176,IF(G182&gt;=Control!$B$17,A182,0))</x:f>
        <x:v>0</x:v>
      </x:c>
      <x:c r="O182" s="91" t="n">
        <x:f>IF(N182&gt;0,Control!$B$17+Control!$B$8+1-N182,G182)-B182/100000</x:f>
        <x:v>98.93967806603763</x:v>
      </x:c>
      <x:c r="P182" s="73" t="n">
        <x:f>COUNTIF($O$182:$O$187,"&gt;"&amp;O182)+1</x:f>
        <x:v>1</x:v>
      </x:c>
      <x:c r="Q182" s="83" t="n">
        <x:f>MAX($G$182:$G$187)-G182</x:f>
        <x:v>0</x:v>
      </x:c>
      <x:c r="R182" s="73" t="str">
        <x:f>INDEX(TrackMap!$B$8:$B$141,H182)</x:f>
        <x:v>东侧长直道</x:v>
      </x:c>
    </x:row>
    <x:row r="183" ht="20" customHeight="1">
      <x:c r="A183" s="73" t="n">
        <x:v>29</x:v>
      </x:c>
      <x:c r="B183" s="73" t="n">
        <x:v>2</x:v>
      </x:c>
      <x:c r="C183" s="73" t="str">
        <x:f>INDEX(Drivers!$B$8:$B$13,B183)</x:f>
        <x:v>蓝电</x:v>
      </x:c>
      <x:c r="D183" s="83" t="n">
        <x:f>G177</x:f>
        <x:v>92.10860728550509</x:v>
      </x:c>
      <x:c r="E183" s="83" t="str">
        <x:f>IF(A183=0,"GRID",IF(D183&gt;=Control!$B$17,"FINISHED",IF(AND(A183&gt;=INDEX(Drivers!$G$8:$G$13,B183),A183&lt;INDEX(Drivers!$G$8:$G$13,B183)+INDEX(Drivers!$J$8:$J$13,B183)),"PIT",IF(MOD(A183+INDEX(Drivers!$F$8:$F$13,B183),Control!$B$11)&lt;Control!$B$13,"BOOST","RACE"))))</x:f>
        <x:v>RACE</x:v>
      </x:c>
      <x:c r="F183" s="83" t="n">
        <x:f>IF(OR(E183="GRID",E183="FINISHED",E183="PIT"),0,MAX(Control!$B$15,(INDEX(Drivers!$D$8:$D$13,B183)+INDEX(Drivers!$E$8:$E$13,B183)*SIN((A183+INDEX(Drivers!$F$8:$F$13,B183)+Control!$B$16)*Control!$B$14))*INDEX(TrackMap!$M$8:$M$141,MOD(INT(D183)-1,Control!$B$7)+1)*IF(E183="BOOST",Control!$B$12,1)))</x:f>
        <x:v>3.3745116289182326</x:v>
      </x:c>
      <x:c r="G183" s="83" t="n">
        <x:f>IF(A183=0,D183,MIN(Control!$B$17,D183+F183))</x:f>
        <x:v>95.48311891442332</x:v>
      </x:c>
      <x:c r="H183" s="73" t="n">
        <x:f>MOD(INT(G183)-1,Control!$B$7)+1</x:f>
        <x:v>95</x:v>
      </x:c>
      <x:c r="I183" s="73" t="n">
        <x:f>MIN(Control!$B$6,MAX(1,INT(MAX(0,G183)/Control!$B$7)+1))</x:f>
        <x:v>1</x:v>
      </x:c>
      <x:c r="J183" s="73" t="n">
        <x:f>INDEX(Drivers!$H$8:$H$13,B183)</x:f>
        <x:v>2</x:v>
      </x:c>
      <x:c r="K183" s="73" t="n">
        <x:f>IF(J183=1,INDEX(TrackMap!$I$8:$I$141,H183),INDEX(TrackMap!$L$8:$L$141,H183))</x:f>
        <x:v>2451</x:v>
      </x:c>
      <x:c r="L183" s="73" t="str">
        <x:f>INDEX(TrackMap!$F$8:$F$141,H183)</x:f>
        <x:v>↓</x:v>
      </x:c>
      <x:c r="M183" s="87" t="n">
        <x:f>MAX(0,G183/Control!$B$17)</x:f>
        <x:v>0.14251211778272135</x:v>
      </x:c>
      <x:c r="N183" s="73" t="n">
        <x:f>IF(N177&gt;0,N177,IF(G183&gt;=Control!$B$17,A183,0))</x:f>
        <x:v>0</x:v>
      </x:c>
      <x:c r="O183" s="91" t="n">
        <x:f>IF(N183&gt;0,Control!$B$17+Control!$B$8+1-N183,G183)-B183/100000</x:f>
        <x:v>95.48309891442331</x:v>
      </x:c>
      <x:c r="P183" s="73" t="n">
        <x:f>COUNTIF($O$182:$O$187,"&gt;"&amp;O183)+1</x:f>
        <x:v>2</x:v>
      </x:c>
      <x:c r="Q183" s="83" t="n">
        <x:f>MAX($G$182:$G$187)-G183</x:f>
        <x:v>3.4565691516143175</x:v>
      </x:c>
      <x:c r="R183" s="73" t="str">
        <x:f>INDEX(TrackMap!$B$8:$B$141,H183)</x:f>
        <x:v>东侧长直道</x:v>
      </x:c>
    </x:row>
    <x:row r="184" ht="20" customHeight="1">
      <x:c r="A184" s="73" t="n">
        <x:v>29</x:v>
      </x:c>
      <x:c r="B184" s="73" t="n">
        <x:v>3</x:v>
      </x:c>
      <x:c r="C184" s="73" t="str">
        <x:f>INDEX(Drivers!$B$8:$B$13,B184)</x:f>
        <x:v>金翼</x:v>
      </x:c>
      <x:c r="D184" s="83" t="n">
        <x:f>G178</x:f>
        <x:v>91.30280175018459</x:v>
      </x:c>
      <x:c r="E184" s="83" t="str">
        <x:f>IF(A184=0,"GRID",IF(D184&gt;=Control!$B$17,"FINISHED",IF(AND(A184&gt;=INDEX(Drivers!$G$8:$G$13,B184),A184&lt;INDEX(Drivers!$G$8:$G$13,B184)+INDEX(Drivers!$J$8:$J$13,B184)),"PIT",IF(MOD(A184+INDEX(Drivers!$F$8:$F$13,B184),Control!$B$11)&lt;Control!$B$13,"BOOST","RACE"))))</x:f>
        <x:v>RACE</x:v>
      </x:c>
      <x:c r="F184" s="83" t="n">
        <x:f>IF(OR(E184="GRID",E184="FINISHED",E184="PIT"),0,MAX(Control!$B$15,(INDEX(Drivers!$D$8:$D$13,B184)+INDEX(Drivers!$E$8:$E$13,B184)*SIN((A184+INDEX(Drivers!$F$8:$F$13,B184)+Control!$B$16)*Control!$B$14))*INDEX(TrackMap!$M$8:$M$141,MOD(INT(D184)-1,Control!$B$7)+1)*IF(E184="BOOST",Control!$B$12,1)))</x:f>
        <x:v>4.092020179263812</x:v>
      </x:c>
      <x:c r="G184" s="83" t="n">
        <x:f>IF(A184=0,D184,MIN(Control!$B$17,D184+F184))</x:f>
        <x:v>95.3948219294484</x:v>
      </x:c>
      <x:c r="H184" s="73" t="n">
        <x:f>MOD(INT(G184)-1,Control!$B$7)+1</x:f>
        <x:v>95</x:v>
      </x:c>
      <x:c r="I184" s="73" t="n">
        <x:f>MIN(Control!$B$6,MAX(1,INT(MAX(0,G184)/Control!$B$7)+1))</x:f>
        <x:v>1</x:v>
      </x:c>
      <x:c r="J184" s="73" t="n">
        <x:f>INDEX(Drivers!$H$8:$H$13,B184)</x:f>
        <x:v>1</x:v>
      </x:c>
      <x:c r="K184" s="73" t="n">
        <x:f>IF(J184=1,INDEX(TrackMap!$I$8:$I$141,H184),INDEX(TrackMap!$L$8:$L$141,H184))</x:f>
        <x:v>2452</x:v>
      </x:c>
      <x:c r="L184" s="73" t="str">
        <x:f>INDEX(TrackMap!$F$8:$F$141,H184)</x:f>
        <x:v>↓</x:v>
      </x:c>
      <x:c r="M184" s="87" t="n">
        <x:f>MAX(0,G184/Control!$B$17)</x:f>
        <x:v>0.1423803312379827</x:v>
      </x:c>
      <x:c r="N184" s="73" t="n">
        <x:f>IF(N178&gt;0,N178,IF(G184&gt;=Control!$B$17,A184,0))</x:f>
        <x:v>0</x:v>
      </x:c>
      <x:c r="O184" s="91" t="n">
        <x:f>IF(N184&gt;0,Control!$B$17+Control!$B$8+1-N184,G184)-B184/100000</x:f>
        <x:v>95.3947919294484</x:v>
      </x:c>
      <x:c r="P184" s="73" t="n">
        <x:f>COUNTIF($O$182:$O$187,"&gt;"&amp;O184)+1</x:f>
        <x:v>3</x:v>
      </x:c>
      <x:c r="Q184" s="83" t="n">
        <x:f>MAX($G$182:$G$187)-G184</x:f>
        <x:v>3.544866136589235</x:v>
      </x:c>
      <x:c r="R184" s="73" t="str">
        <x:f>INDEX(TrackMap!$B$8:$B$141,H184)</x:f>
        <x:v>东侧长直道</x:v>
      </x:c>
    </x:row>
    <x:row r="185" ht="20" customHeight="1">
      <x:c r="A185" s="73" t="n">
        <x:v>29</x:v>
      </x:c>
      <x:c r="B185" s="73" t="n">
        <x:v>4</x:v>
      </x:c>
      <x:c r="C185" s="73" t="str">
        <x:f>INDEX(Drivers!$B$8:$B$13,B185)</x:f>
        <x:v>紫影</x:v>
      </x:c>
      <x:c r="D185" s="83" t="n">
        <x:f>G179</x:f>
        <x:v>91.24167751359187</x:v>
      </x:c>
      <x:c r="E185" s="83" t="str">
        <x:f>IF(A185=0,"GRID",IF(D185&gt;=Control!$B$17,"FINISHED",IF(AND(A185&gt;=INDEX(Drivers!$G$8:$G$13,B185),A185&lt;INDEX(Drivers!$G$8:$G$13,B185)+INDEX(Drivers!$J$8:$J$13,B185)),"PIT",IF(MOD(A185+INDEX(Drivers!$F$8:$F$13,B185),Control!$B$11)&lt;Control!$B$13,"BOOST","RACE"))))</x:f>
        <x:v>RACE</x:v>
      </x:c>
      <x:c r="F185" s="83" t="n">
        <x:f>IF(OR(E185="GRID",E185="FINISHED",E185="PIT"),0,MAX(Control!$B$15,(INDEX(Drivers!$D$8:$D$13,B185)+INDEX(Drivers!$E$8:$E$13,B185)*SIN((A185+INDEX(Drivers!$F$8:$F$13,B185)+Control!$B$16)*Control!$B$14))*INDEX(TrackMap!$M$8:$M$141,MOD(INT(D185)-1,Control!$B$7)+1)*IF(E185="BOOST",Control!$B$12,1)))</x:f>
        <x:v>3.02403703983619</x:v>
      </x:c>
      <x:c r="G185" s="83" t="n">
        <x:f>IF(A185=0,D185,MIN(Control!$B$17,D185+F185))</x:f>
        <x:v>94.26571455342805</x:v>
      </x:c>
      <x:c r="H185" s="73" t="n">
        <x:f>MOD(INT(G185)-1,Control!$B$7)+1</x:f>
        <x:v>94</x:v>
      </x:c>
      <x:c r="I185" s="73" t="n">
        <x:f>MIN(Control!$B$6,MAX(1,INT(MAX(0,G185)/Control!$B$7)+1))</x:f>
        <x:v>1</x:v>
      </x:c>
      <x:c r="J185" s="73" t="n">
        <x:f>INDEX(Drivers!$H$8:$H$13,B185)</x:f>
        <x:v>2</x:v>
      </x:c>
      <x:c r="K185" s="73" t="n">
        <x:f>IF(J185=1,INDEX(TrackMap!$I$8:$I$141,H185),INDEX(TrackMap!$L$8:$L$141,H185))</x:f>
        <x:v>2351</x:v>
      </x:c>
      <x:c r="L185" s="73" t="str">
        <x:f>INDEX(TrackMap!$F$8:$F$141,H185)</x:f>
        <x:v>↓</x:v>
      </x:c>
      <x:c r="M185" s="87" t="n">
        <x:f>MAX(0,G185/Control!$B$17)</x:f>
        <x:v>0.14069509634840008</x:v>
      </x:c>
      <x:c r="N185" s="73" t="n">
        <x:f>IF(N179&gt;0,N179,IF(G185&gt;=Control!$B$17,A185,0))</x:f>
        <x:v>0</x:v>
      </x:c>
      <x:c r="O185" s="91" t="n">
        <x:f>IF(N185&gt;0,Control!$B$17+Control!$B$8+1-N185,G185)-B185/100000</x:f>
        <x:v>94.26567455342806</x:v>
      </x:c>
      <x:c r="P185" s="73" t="n">
        <x:f>COUNTIF($O$182:$O$187,"&gt;"&amp;O185)+1</x:f>
        <x:v>4</x:v>
      </x:c>
      <x:c r="Q185" s="83" t="n">
        <x:f>MAX($G$182:$G$187)-G185</x:f>
        <x:v>4.673973512609578</x:v>
      </x:c>
      <x:c r="R185" s="73" t="str">
        <x:f>INDEX(TrackMap!$B$8:$B$141,H185)</x:f>
        <x:v>东侧长直道</x:v>
      </x:c>
    </x:row>
    <x:row r="186" ht="20" customHeight="1">
      <x:c r="A186" s="73" t="n">
        <x:v>29</x:v>
      </x:c>
      <x:c r="B186" s="73" t="n">
        <x:v>5</x:v>
      </x:c>
      <x:c r="C186" s="73" t="str">
        <x:f>INDEX(Drivers!$B$8:$B$13,B186)</x:f>
        <x:v>青锋</x:v>
      </x:c>
      <x:c r="D186" s="83" t="n">
        <x:f>G180</x:f>
        <x:v>89.71041838967764</x:v>
      </x:c>
      <x:c r="E186" s="83" t="str">
        <x:f>IF(A186=0,"GRID",IF(D186&gt;=Control!$B$17,"FINISHED",IF(AND(A186&gt;=INDEX(Drivers!$G$8:$G$13,B186),A186&lt;INDEX(Drivers!$G$8:$G$13,B186)+INDEX(Drivers!$J$8:$J$13,B186)),"PIT",IF(MOD(A186+INDEX(Drivers!$F$8:$F$13,B186),Control!$B$11)&lt;Control!$B$13,"BOOST","RACE"))))</x:f>
        <x:v>RACE</x:v>
      </x:c>
      <x:c r="F186" s="83" t="n">
        <x:f>IF(OR(E186="GRID",E186="FINISHED",E186="PIT"),0,MAX(Control!$B$15,(INDEX(Drivers!$D$8:$D$13,B186)+INDEX(Drivers!$E$8:$E$13,B186)*SIN((A186+INDEX(Drivers!$F$8:$F$13,B186)+Control!$B$16)*Control!$B$14))*INDEX(TrackMap!$M$8:$M$141,MOD(INT(D186)-1,Control!$B$7)+1)*IF(E186="BOOST",Control!$B$12,1)))</x:f>
        <x:v>3.1132140348461856</x:v>
      </x:c>
      <x:c r="G186" s="83" t="n">
        <x:f>IF(A186=0,D186,MIN(Control!$B$17,D186+F186))</x:f>
        <x:v>92.82363242452382</x:v>
      </x:c>
      <x:c r="H186" s="73" t="n">
        <x:f>MOD(INT(G186)-1,Control!$B$7)+1</x:f>
        <x:v>92</x:v>
      </x:c>
      <x:c r="I186" s="73" t="n">
        <x:f>MIN(Control!$B$6,MAX(1,INT(MAX(0,G186)/Control!$B$7)+1))</x:f>
        <x:v>1</x:v>
      </x:c>
      <x:c r="J186" s="73" t="n">
        <x:f>INDEX(Drivers!$H$8:$H$13,B186)</x:f>
        <x:v>1</x:v>
      </x:c>
      <x:c r="K186" s="73" t="n">
        <x:f>IF(J186=1,INDEX(TrackMap!$I$8:$I$141,H186),INDEX(TrackMap!$L$8:$L$141,H186))</x:f>
        <x:v>2152</x:v>
      </x:c>
      <x:c r="L186" s="73" t="str">
        <x:f>INDEX(TrackMap!$F$8:$F$141,H186)</x:f>
        <x:v>↓</x:v>
      </x:c>
      <x:c r="M186" s="87" t="n">
        <x:f>MAX(0,G186/Control!$B$17)</x:f>
        <x:v>0.13854273496197586</x:v>
      </x:c>
      <x:c r="N186" s="73" t="n">
        <x:f>IF(N180&gt;0,N180,IF(G186&gt;=Control!$B$17,A186,0))</x:f>
        <x:v>0</x:v>
      </x:c>
      <x:c r="O186" s="91" t="n">
        <x:f>IF(N186&gt;0,Control!$B$17+Control!$B$8+1-N186,G186)-B186/100000</x:f>
        <x:v>92.82358242452382</x:v>
      </x:c>
      <x:c r="P186" s="73" t="n">
        <x:f>COUNTIF($O$182:$O$187,"&gt;"&amp;O186)+1</x:f>
        <x:v>5</x:v>
      </x:c>
      <x:c r="Q186" s="83" t="n">
        <x:f>MAX($G$182:$G$187)-G186</x:f>
        <x:v>6.11605564151381</x:v>
      </x:c>
      <x:c r="R186" s="73" t="str">
        <x:f>INDEX(TrackMap!$B$8:$B$141,H186)</x:f>
        <x:v>东侧长直道</x:v>
      </x:c>
    </x:row>
    <x:row r="187" ht="20" customHeight="1">
      <x:c r="A187" s="73" t="n">
        <x:v>29</x:v>
      </x:c>
      <x:c r="B187" s="73" t="n">
        <x:v>6</x:v>
      </x:c>
      <x:c r="C187" s="73" t="str">
        <x:f>INDEX(Drivers!$B$8:$B$13,B187)</x:f>
        <x:v>玫速</x:v>
      </x:c>
      <x:c r="D187" s="83" t="n">
        <x:f>G181</x:f>
        <x:v>85.41144907543978</x:v>
      </x:c>
      <x:c r="E187" s="83" t="str">
        <x:f>IF(A187=0,"GRID",IF(D187&gt;=Control!$B$17,"FINISHED",IF(AND(A187&gt;=INDEX(Drivers!$G$8:$G$13,B187),A187&lt;INDEX(Drivers!$G$8:$G$13,B187)+INDEX(Drivers!$J$8:$J$13,B187)),"PIT",IF(MOD(A187+INDEX(Drivers!$F$8:$F$13,B187),Control!$B$11)&lt;Control!$B$13,"BOOST","RACE"))))</x:f>
        <x:v>RACE</x:v>
      </x:c>
      <x:c r="F187" s="83" t="n">
        <x:f>IF(OR(E187="GRID",E187="FINISHED",E187="PIT"),0,MAX(Control!$B$15,(INDEX(Drivers!$D$8:$D$13,B187)+INDEX(Drivers!$E$8:$E$13,B187)*SIN((A187+INDEX(Drivers!$F$8:$F$13,B187)+Control!$B$16)*Control!$B$14))*INDEX(TrackMap!$M$8:$M$141,MOD(INT(D187)-1,Control!$B$7)+1)*IF(E187="BOOST",Control!$B$12,1)))</x:f>
        <x:v>4.222760942375581</x:v>
      </x:c>
      <x:c r="G187" s="83" t="n">
        <x:f>IF(A187=0,D187,MIN(Control!$B$17,D187+F187))</x:f>
        <x:v>89.63421001781536</x:v>
      </x:c>
      <x:c r="H187" s="73" t="n">
        <x:f>MOD(INT(G187)-1,Control!$B$7)+1</x:f>
        <x:v>89</x:v>
      </x:c>
      <x:c r="I187" s="73" t="n">
        <x:f>MIN(Control!$B$6,MAX(1,INT(MAX(0,G187)/Control!$B$7)+1))</x:f>
        <x:v>1</x:v>
      </x:c>
      <x:c r="J187" s="73" t="n">
        <x:f>INDEX(Drivers!$H$8:$H$13,B187)</x:f>
        <x:v>2</x:v>
      </x:c>
      <x:c r="K187" s="73" t="n">
        <x:f>IF(J187=1,INDEX(TrackMap!$I$8:$I$141,H187),INDEX(TrackMap!$L$8:$L$141,H187))</x:f>
        <x:v>1851</x:v>
      </x:c>
      <x:c r="L187" s="73" t="str">
        <x:f>INDEX(TrackMap!$F$8:$F$141,H187)</x:f>
        <x:v>↓</x:v>
      </x:c>
      <x:c r="M187" s="87" t="n">
        <x:f>MAX(0,G187/Control!$B$17)</x:f>
        <x:v>0.13378240301166472</x:v>
      </x:c>
      <x:c r="N187" s="73" t="n">
        <x:f>IF(N181&gt;0,N181,IF(G187&gt;=Control!$B$17,A187,0))</x:f>
        <x:v>0</x:v>
      </x:c>
      <x:c r="O187" s="91" t="n">
        <x:f>IF(N187&gt;0,Control!$B$17+Control!$B$8+1-N187,G187)-B187/100000</x:f>
        <x:v>89.63415001781536</x:v>
      </x:c>
      <x:c r="P187" s="73" t="n">
        <x:f>COUNTIF($O$182:$O$187,"&gt;"&amp;O187)+1</x:f>
        <x:v>6</x:v>
      </x:c>
      <x:c r="Q187" s="83" t="n">
        <x:f>MAX($G$182:$G$187)-G187</x:f>
        <x:v>9.30547804822227</x:v>
      </x:c>
      <x:c r="R187" s="73" t="str">
        <x:f>INDEX(TrackMap!$B$8:$B$141,H187)</x:f>
        <x:v>东侧长直道</x:v>
      </x:c>
    </x:row>
    <x:row r="188" ht="20" customHeight="1">
      <x:c r="A188" s="73" t="n">
        <x:v>30</x:v>
      </x:c>
      <x:c r="B188" s="73" t="n">
        <x:v>1</x:v>
      </x:c>
      <x:c r="C188" s="73" t="str">
        <x:f>INDEX(Drivers!$B$8:$B$13,B188)</x:f>
        <x:v>赤焰</x:v>
      </x:c>
      <x:c r="D188" s="83" t="n">
        <x:f>G182</x:f>
        <x:v>98.93968806603763</x:v>
      </x:c>
      <x:c r="E188" s="83" t="str">
        <x:f>IF(A188=0,"GRID",IF(D188&gt;=Control!$B$17,"FINISHED",IF(AND(A188&gt;=INDEX(Drivers!$G$8:$G$13,B188),A188&lt;INDEX(Drivers!$G$8:$G$13,B188)+INDEX(Drivers!$J$8:$J$13,B188)),"PIT",IF(MOD(A188+INDEX(Drivers!$F$8:$F$13,B188),Control!$B$11)&lt;Control!$B$13,"BOOST","RACE"))))</x:f>
        <x:v>BOOST</x:v>
      </x:c>
      <x:c r="F188" s="83" t="n">
        <x:f>IF(OR(E188="GRID",E188="FINISHED",E188="PIT"),0,MAX(Control!$B$15,(INDEX(Drivers!$D$8:$D$13,B188)+INDEX(Drivers!$E$8:$E$13,B188)*SIN((A188+INDEX(Drivers!$F$8:$F$13,B188)+Control!$B$16)*Control!$B$14))*INDEX(TrackMap!$M$8:$M$141,MOD(INT(D188)-1,Control!$B$7)+1)*IF(E188="BOOST",Control!$B$12,1)))</x:f>
        <x:v>4.5255508511795695</x:v>
      </x:c>
      <x:c r="G188" s="83" t="n">
        <x:f>IF(A188=0,D188,MIN(Control!$B$17,D188+F188))</x:f>
        <x:v>103.4652389172172</x:v>
      </x:c>
      <x:c r="H188" s="73" t="n">
        <x:f>MOD(INT(G188)-1,Control!$B$7)+1</x:f>
        <x:v>103</x:v>
      </x:c>
      <x:c r="I188" s="73" t="n">
        <x:f>MIN(Control!$B$6,MAX(1,INT(MAX(0,G188)/Control!$B$7)+1))</x:f>
        <x:v>1</x:v>
      </x:c>
      <x:c r="J188" s="73" t="n">
        <x:f>INDEX(Drivers!$H$8:$H$13,B188)</x:f>
        <x:v>1</x:v>
      </x:c>
      <x:c r="K188" s="73" t="n">
        <x:f>IF(J188=1,INDEX(TrackMap!$I$8:$I$141,H188),INDEX(TrackMap!$L$8:$L$141,H188))</x:f>
        <x:v>3148</x:v>
      </x:c>
      <x:c r="L188" s="73" t="str">
        <x:f>INDEX(TrackMap!$F$8:$F$141,H188)</x:f>
        <x:v>←</x:v>
      </x:c>
      <x:c r="M188" s="87" t="n">
        <x:f>MAX(0,G188/Control!$B$17)</x:f>
        <x:v>0.15442572972718985</x:v>
      </x:c>
      <x:c r="N188" s="73" t="n">
        <x:f>IF(N182&gt;0,N182,IF(G188&gt;=Control!$B$17,A188,0))</x:f>
        <x:v>0</x:v>
      </x:c>
      <x:c r="O188" s="91" t="n">
        <x:f>IF(N188&gt;0,Control!$B$17+Control!$B$8+1-N188,G188)-B188/100000</x:f>
        <x:v>103.4652289172172</x:v>
      </x:c>
      <x:c r="P188" s="73" t="n">
        <x:f>COUNTIF($O$188:$O$193,"&gt;"&amp;O188)+1</x:f>
        <x:v>1</x:v>
      </x:c>
      <x:c r="Q188" s="83" t="n">
        <x:f>MAX($G$188:$G$193)-G188</x:f>
        <x:v>0</x:v>
      </x:c>
      <x:c r="R188" s="73" t="str">
        <x:f>INDEX(TrackMap!$B$8:$B$141,H188)</x:f>
        <x:v>发车大直道</x:v>
      </x:c>
    </x:row>
    <x:row r="189" ht="20" customHeight="1">
      <x:c r="A189" s="73" t="n">
        <x:v>30</x:v>
      </x:c>
      <x:c r="B189" s="73" t="n">
        <x:v>2</x:v>
      </x:c>
      <x:c r="C189" s="73" t="str">
        <x:f>INDEX(Drivers!$B$8:$B$13,B189)</x:f>
        <x:v>蓝电</x:v>
      </x:c>
      <x:c r="D189" s="83" t="n">
        <x:f>G183</x:f>
        <x:v>95.48311891442332</x:v>
      </x:c>
      <x:c r="E189" s="83" t="str">
        <x:f>IF(A189=0,"GRID",IF(D189&gt;=Control!$B$17,"FINISHED",IF(AND(A189&gt;=INDEX(Drivers!$G$8:$G$13,B189),A189&lt;INDEX(Drivers!$G$8:$G$13,B189)+INDEX(Drivers!$J$8:$J$13,B189)),"PIT",IF(MOD(A189+INDEX(Drivers!$F$8:$F$13,B189),Control!$B$11)&lt;Control!$B$13,"BOOST","RACE"))))</x:f>
        <x:v>RACE</x:v>
      </x:c>
      <x:c r="F189" s="83" t="n">
        <x:f>IF(OR(E189="GRID",E189="FINISHED",E189="PIT"),0,MAX(Control!$B$15,(INDEX(Drivers!$D$8:$D$13,B189)+INDEX(Drivers!$E$8:$E$13,B189)*SIN((A189+INDEX(Drivers!$F$8:$F$13,B189)+Control!$B$16)*Control!$B$14))*INDEX(TrackMap!$M$8:$M$141,MOD(INT(D189)-1,Control!$B$7)+1)*IF(E189="BOOST",Control!$B$12,1)))</x:f>
        <x:v>3.592265592613195</x:v>
      </x:c>
      <x:c r="G189" s="83" t="n">
        <x:f>IF(A189=0,D189,MIN(Control!$B$17,D189+F189))</x:f>
        <x:v>99.0753845070365</x:v>
      </x:c>
      <x:c r="H189" s="73" t="n">
        <x:f>MOD(INT(G189)-1,Control!$B$7)+1</x:f>
        <x:v>99</x:v>
      </x:c>
      <x:c r="I189" s="73" t="n">
        <x:f>MIN(Control!$B$6,MAX(1,INT(MAX(0,G189)/Control!$B$7)+1))</x:f>
        <x:v>1</x:v>
      </x:c>
      <x:c r="J189" s="73" t="n">
        <x:f>INDEX(Drivers!$H$8:$H$13,B189)</x:f>
        <x:v>2</x:v>
      </x:c>
      <x:c r="K189" s="73" t="n">
        <x:f>IF(J189=1,INDEX(TrackMap!$I$8:$I$141,H189),INDEX(TrackMap!$L$8:$L$141,H189))</x:f>
        <x:v>2851</x:v>
      </x:c>
      <x:c r="L189" s="73" t="str">
        <x:f>INDEX(TrackMap!$F$8:$F$141,H189)</x:f>
        <x:v>↓</x:v>
      </x:c>
      <x:c r="M189" s="87" t="n">
        <x:f>MAX(0,G189/Control!$B$17)</x:f>
        <x:v>0.14787370821945747</x:v>
      </x:c>
      <x:c r="N189" s="73" t="n">
        <x:f>IF(N183&gt;0,N183,IF(G189&gt;=Control!$B$17,A189,0))</x:f>
        <x:v>0</x:v>
      </x:c>
      <x:c r="O189" s="91" t="n">
        <x:f>IF(N189&gt;0,Control!$B$17+Control!$B$8+1-N189,G189)-B189/100000</x:f>
        <x:v>99.0753645070365</x:v>
      </x:c>
      <x:c r="P189" s="73" t="n">
        <x:f>COUNTIF($O$188:$O$193,"&gt;"&amp;O189)+1</x:f>
        <x:v>3</x:v>
      </x:c>
      <x:c r="Q189" s="83" t="n">
        <x:f>MAX($G$188:$G$193)-G189</x:f>
        <x:v>4.389854410180703</x:v>
      </x:c>
      <x:c r="R189" s="73" t="str">
        <x:f>INDEX(TrackMap!$B$8:$B$141,H189)</x:f>
        <x:v>东侧长直道</x:v>
      </x:c>
    </x:row>
    <x:row r="190" ht="20" customHeight="1">
      <x:c r="A190" s="73" t="n">
        <x:v>30</x:v>
      </x:c>
      <x:c r="B190" s="73" t="n">
        <x:v>3</x:v>
      </x:c>
      <x:c r="C190" s="73" t="str">
        <x:f>INDEX(Drivers!$B$8:$B$13,B190)</x:f>
        <x:v>金翼</x:v>
      </x:c>
      <x:c r="D190" s="83" t="n">
        <x:f>G184</x:f>
        <x:v>95.3948219294484</x:v>
      </x:c>
      <x:c r="E190" s="83" t="str">
        <x:f>IF(A190=0,"GRID",IF(D190&gt;=Control!$B$17,"FINISHED",IF(AND(A190&gt;=INDEX(Drivers!$G$8:$G$13,B190),A190&lt;INDEX(Drivers!$G$8:$G$13,B190)+INDEX(Drivers!$J$8:$J$13,B190)),"PIT",IF(MOD(A190+INDEX(Drivers!$F$8:$F$13,B190),Control!$B$11)&lt;Control!$B$13,"BOOST","RACE"))))</x:f>
        <x:v>RACE</x:v>
      </x:c>
      <x:c r="F190" s="83" t="n">
        <x:f>IF(OR(E190="GRID",E190="FINISHED",E190="PIT"),0,MAX(Control!$B$15,(INDEX(Drivers!$D$8:$D$13,B190)+INDEX(Drivers!$E$8:$E$13,B190)*SIN((A190+INDEX(Drivers!$F$8:$F$13,B190)+Control!$B$16)*Control!$B$14))*INDEX(TrackMap!$M$8:$M$141,MOD(INT(D190)-1,Control!$B$7)+1)*IF(E190="BOOST",Control!$B$12,1)))</x:f>
        <x:v>3.9532620031364285</x:v>
      </x:c>
      <x:c r="G190" s="83" t="n">
        <x:f>IF(A190=0,D190,MIN(Control!$B$17,D190+F190))</x:f>
        <x:v>99.34808393258483</x:v>
      </x:c>
      <x:c r="H190" s="73" t="n">
        <x:f>MOD(INT(G190)-1,Control!$B$7)+1</x:f>
        <x:v>99</x:v>
      </x:c>
      <x:c r="I190" s="73" t="n">
        <x:f>MIN(Control!$B$6,MAX(1,INT(MAX(0,G190)/Control!$B$7)+1))</x:f>
        <x:v>1</x:v>
      </x:c>
      <x:c r="J190" s="73" t="n">
        <x:f>INDEX(Drivers!$H$8:$H$13,B190)</x:f>
        <x:v>1</x:v>
      </x:c>
      <x:c r="K190" s="73" t="n">
        <x:f>IF(J190=1,INDEX(TrackMap!$I$8:$I$141,H190),INDEX(TrackMap!$L$8:$L$141,H190))</x:f>
        <x:v>2852</x:v>
      </x:c>
      <x:c r="L190" s="73" t="str">
        <x:f>INDEX(TrackMap!$F$8:$F$141,H190)</x:f>
        <x:v>↓</x:v>
      </x:c>
      <x:c r="M190" s="87" t="n">
        <x:f>MAX(0,G190/Control!$B$17)</x:f>
        <x:v>0.14828072228744005</x:v>
      </x:c>
      <x:c r="N190" s="73" t="n">
        <x:f>IF(N184&gt;0,N184,IF(G190&gt;=Control!$B$17,A190,0))</x:f>
        <x:v>0</x:v>
      </x:c>
      <x:c r="O190" s="91" t="n">
        <x:f>IF(N190&gt;0,Control!$B$17+Control!$B$8+1-N190,G190)-B190/100000</x:f>
        <x:v>99.34805393258483</x:v>
      </x:c>
      <x:c r="P190" s="73" t="n">
        <x:f>COUNTIF($O$188:$O$193,"&gt;"&amp;O190)+1</x:f>
        <x:v>2</x:v>
      </x:c>
      <x:c r="Q190" s="83" t="n">
        <x:f>MAX($G$188:$G$193)-G190</x:f>
        <x:v>4.1171549846323785</x:v>
      </x:c>
      <x:c r="R190" s="73" t="str">
        <x:f>INDEX(TrackMap!$B$8:$B$141,H190)</x:f>
        <x:v>东侧长直道</x:v>
      </x:c>
    </x:row>
    <x:row r="191" ht="20" customHeight="1">
      <x:c r="A191" s="73" t="n">
        <x:v>30</x:v>
      </x:c>
      <x:c r="B191" s="73" t="n">
        <x:v>4</x:v>
      </x:c>
      <x:c r="C191" s="73" t="str">
        <x:f>INDEX(Drivers!$B$8:$B$13,B191)</x:f>
        <x:v>紫影</x:v>
      </x:c>
      <x:c r="D191" s="83" t="n">
        <x:f>G185</x:f>
        <x:v>94.26571455342805</x:v>
      </x:c>
      <x:c r="E191" s="83" t="str">
        <x:f>IF(A191=0,"GRID",IF(D191&gt;=Control!$B$17,"FINISHED",IF(AND(A191&gt;=INDEX(Drivers!$G$8:$G$13,B191),A191&lt;INDEX(Drivers!$G$8:$G$13,B191)+INDEX(Drivers!$J$8:$J$13,B191)),"PIT",IF(MOD(A191+INDEX(Drivers!$F$8:$F$13,B191),Control!$B$11)&lt;Control!$B$13,"BOOST","RACE"))))</x:f>
        <x:v>RACE</x:v>
      </x:c>
      <x:c r="F191" s="83" t="n">
        <x:f>IF(OR(E191="GRID",E191="FINISHED",E191="PIT"),0,MAX(Control!$B$15,(INDEX(Drivers!$D$8:$D$13,B191)+INDEX(Drivers!$E$8:$E$13,B191)*SIN((A191+INDEX(Drivers!$F$8:$F$13,B191)+Control!$B$16)*Control!$B$14))*INDEX(TrackMap!$M$8:$M$141,MOD(INT(D191)-1,Control!$B$7)+1)*IF(E191="BOOST",Control!$B$12,1)))</x:f>
        <x:v>3.0877170239370293</x:v>
      </x:c>
      <x:c r="G191" s="83" t="n">
        <x:f>IF(A191=0,D191,MIN(Control!$B$17,D191+F191))</x:f>
        <x:v>97.35343157736509</x:v>
      </x:c>
      <x:c r="H191" s="73" t="n">
        <x:f>MOD(INT(G191)-1,Control!$B$7)+1</x:f>
        <x:v>97</x:v>
      </x:c>
      <x:c r="I191" s="73" t="n">
        <x:f>MIN(Control!$B$6,MAX(1,INT(MAX(0,G191)/Control!$B$7)+1))</x:f>
        <x:v>1</x:v>
      </x:c>
      <x:c r="J191" s="73" t="n">
        <x:f>INDEX(Drivers!$H$8:$H$13,B191)</x:f>
        <x:v>2</x:v>
      </x:c>
      <x:c r="K191" s="73" t="n">
        <x:f>IF(J191=1,INDEX(TrackMap!$I$8:$I$141,H191),INDEX(TrackMap!$L$8:$L$141,H191))</x:f>
        <x:v>2651</x:v>
      </x:c>
      <x:c r="L191" s="73" t="str">
        <x:f>INDEX(TrackMap!$F$8:$F$141,H191)</x:f>
        <x:v>↓</x:v>
      </x:c>
      <x:c r="M191" s="87" t="n">
        <x:f>MAX(0,G191/Control!$B$17)</x:f>
        <x:v>0.14530362921994788</x:v>
      </x:c>
      <x:c r="N191" s="73" t="n">
        <x:f>IF(N185&gt;0,N185,IF(G191&gt;=Control!$B$17,A191,0))</x:f>
        <x:v>0</x:v>
      </x:c>
      <x:c r="O191" s="91" t="n">
        <x:f>IF(N191&gt;0,Control!$B$17+Control!$B$8+1-N191,G191)-B191/100000</x:f>
        <x:v>97.35339157736509</x:v>
      </x:c>
      <x:c r="P191" s="73" t="n">
        <x:f>COUNTIF($O$188:$O$193,"&gt;"&amp;O191)+1</x:f>
        <x:v>4</x:v>
      </x:c>
      <x:c r="Q191" s="83" t="n">
        <x:f>MAX($G$188:$G$193)-G191</x:f>
        <x:v>6.11180733985212</x:v>
      </x:c>
      <x:c r="R191" s="73" t="str">
        <x:f>INDEX(TrackMap!$B$8:$B$141,H191)</x:f>
        <x:v>东侧长直道</x:v>
      </x:c>
    </x:row>
    <x:row r="192" ht="20" customHeight="1">
      <x:c r="A192" s="73" t="n">
        <x:v>30</x:v>
      </x:c>
      <x:c r="B192" s="73" t="n">
        <x:v>5</x:v>
      </x:c>
      <x:c r="C192" s="73" t="str">
        <x:f>INDEX(Drivers!$B$8:$B$13,B192)</x:f>
        <x:v>青锋</x:v>
      </x:c>
      <x:c r="D192" s="83" t="n">
        <x:f>G186</x:f>
        <x:v>92.82363242452382</x:v>
      </x:c>
      <x:c r="E192" s="83" t="str">
        <x:f>IF(A192=0,"GRID",IF(D192&gt;=Control!$B$17,"FINISHED",IF(AND(A192&gt;=INDEX(Drivers!$G$8:$G$13,B192),A192&lt;INDEX(Drivers!$G$8:$G$13,B192)+INDEX(Drivers!$J$8:$J$13,B192)),"PIT",IF(MOD(A192+INDEX(Drivers!$F$8:$F$13,B192),Control!$B$11)&lt;Control!$B$13,"BOOST","RACE"))))</x:f>
        <x:v>RACE</x:v>
      </x:c>
      <x:c r="F192" s="83" t="n">
        <x:f>IF(OR(E192="GRID",E192="FINISHED",E192="PIT"),0,MAX(Control!$B$15,(INDEX(Drivers!$D$8:$D$13,B192)+INDEX(Drivers!$E$8:$E$13,B192)*SIN((A192+INDEX(Drivers!$F$8:$F$13,B192)+Control!$B$16)*Control!$B$14))*INDEX(TrackMap!$M$8:$M$141,MOD(INT(D192)-1,Control!$B$7)+1)*IF(E192="BOOST",Control!$B$12,1)))</x:f>
        <x:v>3.169060847434035</x:v>
      </x:c>
      <x:c r="G192" s="83" t="n">
        <x:f>IF(A192=0,D192,MIN(Control!$B$17,D192+F192))</x:f>
        <x:v>95.99269327195786</x:v>
      </x:c>
      <x:c r="H192" s="73" t="n">
        <x:f>MOD(INT(G192)-1,Control!$B$7)+1</x:f>
        <x:v>95</x:v>
      </x:c>
      <x:c r="I192" s="73" t="n">
        <x:f>MIN(Control!$B$6,MAX(1,INT(MAX(0,G192)/Control!$B$7)+1))</x:f>
        <x:v>1</x:v>
      </x:c>
      <x:c r="J192" s="73" t="n">
        <x:f>INDEX(Drivers!$H$8:$H$13,B192)</x:f>
        <x:v>1</x:v>
      </x:c>
      <x:c r="K192" s="73" t="n">
        <x:f>IF(J192=1,INDEX(TrackMap!$I$8:$I$141,H192),INDEX(TrackMap!$L$8:$L$141,H192))</x:f>
        <x:v>2452</x:v>
      </x:c>
      <x:c r="L192" s="73" t="str">
        <x:f>INDEX(TrackMap!$F$8:$F$141,H192)</x:f>
        <x:v>↓</x:v>
      </x:c>
      <x:c r="M192" s="87" t="n">
        <x:f>MAX(0,G192/Control!$B$17)</x:f>
        <x:v>0.14327267652531023</x:v>
      </x:c>
      <x:c r="N192" s="73" t="n">
        <x:f>IF(N186&gt;0,N186,IF(G192&gt;=Control!$B$17,A192,0))</x:f>
        <x:v>0</x:v>
      </x:c>
      <x:c r="O192" s="91" t="n">
        <x:f>IF(N192&gt;0,Control!$B$17+Control!$B$8+1-N192,G192)-B192/100000</x:f>
        <x:v>95.99264327195786</x:v>
      </x:c>
      <x:c r="P192" s="73" t="n">
        <x:f>COUNTIF($O$188:$O$193,"&gt;"&amp;O192)+1</x:f>
        <x:v>5</x:v>
      </x:c>
      <x:c r="Q192" s="83" t="n">
        <x:f>MAX($G$188:$G$193)-G192</x:f>
        <x:v>7.472545645259345</x:v>
      </x:c>
      <x:c r="R192" s="73" t="str">
        <x:f>INDEX(TrackMap!$B$8:$B$141,H192)</x:f>
        <x:v>东侧长直道</x:v>
      </x:c>
    </x:row>
    <x:row r="193" ht="20" customHeight="1">
      <x:c r="A193" s="73" t="n">
        <x:v>30</x:v>
      </x:c>
      <x:c r="B193" s="73" t="n">
        <x:v>6</x:v>
      </x:c>
      <x:c r="C193" s="73" t="str">
        <x:f>INDEX(Drivers!$B$8:$B$13,B193)</x:f>
        <x:v>玫速</x:v>
      </x:c>
      <x:c r="D193" s="83" t="n">
        <x:f>G187</x:f>
        <x:v>89.63421001781536</x:v>
      </x:c>
      <x:c r="E193" s="83" t="str">
        <x:f>IF(A193=0,"GRID",IF(D193&gt;=Control!$B$17,"FINISHED",IF(AND(A193&gt;=INDEX(Drivers!$G$8:$G$13,B193),A193&lt;INDEX(Drivers!$G$8:$G$13,B193)+INDEX(Drivers!$J$8:$J$13,B193)),"PIT",IF(MOD(A193+INDEX(Drivers!$F$8:$F$13,B193),Control!$B$11)&lt;Control!$B$13,"BOOST","RACE"))))</x:f>
        <x:v>RACE</x:v>
      </x:c>
      <x:c r="F193" s="83" t="n">
        <x:f>IF(OR(E193="GRID",E193="FINISHED",E193="PIT"),0,MAX(Control!$B$15,(INDEX(Drivers!$D$8:$D$13,B193)+INDEX(Drivers!$E$8:$E$13,B193)*SIN((A193+INDEX(Drivers!$F$8:$F$13,B193)+Control!$B$16)*Control!$B$14))*INDEX(TrackMap!$M$8:$M$141,MOD(INT(D193)-1,Control!$B$7)+1)*IF(E193="BOOST",Control!$B$12,1)))</x:f>
        <x:v>4.278515780668913</x:v>
      </x:c>
      <x:c r="G193" s="83" t="n">
        <x:f>IF(A193=0,D193,MIN(Control!$B$17,D193+F193))</x:f>
        <x:v>93.91272579848427</x:v>
      </x:c>
      <x:c r="H193" s="73" t="n">
        <x:f>MOD(INT(G193)-1,Control!$B$7)+1</x:f>
        <x:v>93</x:v>
      </x:c>
      <x:c r="I193" s="73" t="n">
        <x:f>MIN(Control!$B$6,MAX(1,INT(MAX(0,G193)/Control!$B$7)+1))</x:f>
        <x:v>1</x:v>
      </x:c>
      <x:c r="J193" s="73" t="n">
        <x:f>INDEX(Drivers!$H$8:$H$13,B193)</x:f>
        <x:v>2</x:v>
      </x:c>
      <x:c r="K193" s="73" t="n">
        <x:f>IF(J193=1,INDEX(TrackMap!$I$8:$I$141,H193),INDEX(TrackMap!$L$8:$L$141,H193))</x:f>
        <x:v>2251</x:v>
      </x:c>
      <x:c r="L193" s="73" t="str">
        <x:f>INDEX(TrackMap!$F$8:$F$141,H193)</x:f>
        <x:v>↓</x:v>
      </x:c>
      <x:c r="M193" s="87" t="n">
        <x:f>MAX(0,G193/Control!$B$17)</x:f>
        <x:v>0.14016824746042428</x:v>
      </x:c>
      <x:c r="N193" s="73" t="n">
        <x:f>IF(N187&gt;0,N187,IF(G193&gt;=Control!$B$17,A193,0))</x:f>
        <x:v>0</x:v>
      </x:c>
      <x:c r="O193" s="91" t="n">
        <x:f>IF(N193&gt;0,Control!$B$17+Control!$B$8+1-N193,G193)-B193/100000</x:f>
        <x:v>93.91266579848427</x:v>
      </x:c>
      <x:c r="P193" s="73" t="n">
        <x:f>COUNTIF($O$188:$O$193,"&gt;"&amp;O193)+1</x:f>
        <x:v>6</x:v>
      </x:c>
      <x:c r="Q193" s="83" t="n">
        <x:f>MAX($G$188:$G$193)-G193</x:f>
        <x:v>9.552513118732932</x:v>
      </x:c>
      <x:c r="R193" s="73" t="str">
        <x:f>INDEX(TrackMap!$B$8:$B$141,H193)</x:f>
        <x:v>东侧长直道</x:v>
      </x:c>
    </x:row>
    <x:row r="194" ht="20" customHeight="1">
      <x:c r="A194" s="73" t="n">
        <x:v>31</x:v>
      </x:c>
      <x:c r="B194" s="73" t="n">
        <x:v>1</x:v>
      </x:c>
      <x:c r="C194" s="73" t="str">
        <x:f>INDEX(Drivers!$B$8:$B$13,B194)</x:f>
        <x:v>赤焰</x:v>
      </x:c>
      <x:c r="D194" s="83" t="n">
        <x:f>G188</x:f>
        <x:v>103.4652389172172</x:v>
      </x:c>
      <x:c r="E194" s="83" t="str">
        <x:f>IF(A194=0,"GRID",IF(D194&gt;=Control!$B$17,"FINISHED",IF(AND(A194&gt;=INDEX(Drivers!$G$8:$G$13,B194),A194&lt;INDEX(Drivers!$G$8:$G$13,B194)+INDEX(Drivers!$J$8:$J$13,B194)),"PIT",IF(MOD(A194+INDEX(Drivers!$F$8:$F$13,B194),Control!$B$11)&lt;Control!$B$13,"BOOST","RACE"))))</x:f>
        <x:v>BOOST</x:v>
      </x:c>
      <x:c r="F194" s="83" t="n">
        <x:f>IF(OR(E194="GRID",E194="FINISHED",E194="PIT"),0,MAX(Control!$B$15,(INDEX(Drivers!$D$8:$D$13,B194)+INDEX(Drivers!$E$8:$E$13,B194)*SIN((A194+INDEX(Drivers!$F$8:$F$13,B194)+Control!$B$16)*Control!$B$14))*INDEX(TrackMap!$M$8:$M$141,MOD(INT(D194)-1,Control!$B$7)+1)*IF(E194="BOOST",Control!$B$12,1)))</x:f>
        <x:v>4.32699743391455</x:v>
      </x:c>
      <x:c r="G194" s="83" t="n">
        <x:f>IF(A194=0,D194,MIN(Control!$B$17,D194+F194))</x:f>
        <x:v>107.79223635113176</x:v>
      </x:c>
      <x:c r="H194" s="73" t="n">
        <x:f>MOD(INT(G194)-1,Control!$B$7)+1</x:f>
        <x:v>107</x:v>
      </x:c>
      <x:c r="I194" s="73" t="n">
        <x:f>MIN(Control!$B$6,MAX(1,INT(MAX(0,G194)/Control!$B$7)+1))</x:f>
        <x:v>1</x:v>
      </x:c>
      <x:c r="J194" s="73" t="n">
        <x:f>INDEX(Drivers!$H$8:$H$13,B194)</x:f>
        <x:v>1</x:v>
      </x:c>
      <x:c r="K194" s="73" t="n">
        <x:f>IF(J194=1,INDEX(TrackMap!$I$8:$I$141,H194),INDEX(TrackMap!$L$8:$L$141,H194))</x:f>
        <x:v>3144</x:v>
      </x:c>
      <x:c r="L194" s="73" t="str">
        <x:f>INDEX(TrackMap!$F$8:$F$141,H194)</x:f>
        <x:v>←</x:v>
      </x:c>
      <x:c r="M194" s="87" t="n">
        <x:f>MAX(0,G194/Control!$B$17)</x:f>
        <x:v>0.16088393485243546</x:v>
      </x:c>
      <x:c r="N194" s="73" t="n">
        <x:f>IF(N188&gt;0,N188,IF(G194&gt;=Control!$B$17,A194,0))</x:f>
        <x:v>0</x:v>
      </x:c>
      <x:c r="O194" s="91" t="n">
        <x:f>IF(N194&gt;0,Control!$B$17+Control!$B$8+1-N194,G194)-B194/100000</x:f>
        <x:v>107.79222635113176</x:v>
      </x:c>
      <x:c r="P194" s="73" t="n">
        <x:f>COUNTIF($O$194:$O$199,"&gt;"&amp;O194)+1</x:f>
        <x:v>1</x:v>
      </x:c>
      <x:c r="Q194" s="83" t="n">
        <x:f>MAX($G$194:$G$199)-G194</x:f>
        <x:v>0</x:v>
      </x:c>
      <x:c r="R194" s="73" t="str">
        <x:f>INDEX(TrackMap!$B$8:$B$141,H194)</x:f>
        <x:v>发车大直道</x:v>
      </x:c>
    </x:row>
    <x:row r="195" ht="20" customHeight="1">
      <x:c r="A195" s="73" t="n">
        <x:v>31</x:v>
      </x:c>
      <x:c r="B195" s="73" t="n">
        <x:v>2</x:v>
      </x:c>
      <x:c r="C195" s="73" t="str">
        <x:f>INDEX(Drivers!$B$8:$B$13,B195)</x:f>
        <x:v>蓝电</x:v>
      </x:c>
      <x:c r="D195" s="83" t="n">
        <x:f>G189</x:f>
        <x:v>99.0753845070365</x:v>
      </x:c>
      <x:c r="E195" s="83" t="str">
        <x:f>IF(A195=0,"GRID",IF(D195&gt;=Control!$B$17,"FINISHED",IF(AND(A195&gt;=INDEX(Drivers!$G$8:$G$13,B195),A195&lt;INDEX(Drivers!$G$8:$G$13,B195)+INDEX(Drivers!$J$8:$J$13,B195)),"PIT",IF(MOD(A195+INDEX(Drivers!$F$8:$F$13,B195),Control!$B$11)&lt;Control!$B$13,"BOOST","RACE"))))</x:f>
        <x:v>RACE</x:v>
      </x:c>
      <x:c r="F195" s="83" t="n">
        <x:f>IF(OR(E195="GRID",E195="FINISHED",E195="PIT"),0,MAX(Control!$B$15,(INDEX(Drivers!$D$8:$D$13,B195)+INDEX(Drivers!$E$8:$E$13,B195)*SIN((A195+INDEX(Drivers!$F$8:$F$13,B195)+Control!$B$16)*Control!$B$14))*INDEX(TrackMap!$M$8:$M$141,MOD(INT(D195)-1,Control!$B$7)+1)*IF(E195="BOOST",Control!$B$12,1)))</x:f>
        <x:v>3.808359465888455</x:v>
      </x:c>
      <x:c r="G195" s="83" t="n">
        <x:f>IF(A195=0,D195,MIN(Control!$B$17,D195+F195))</x:f>
        <x:v>102.88374397292496</x:v>
      </x:c>
      <x:c r="H195" s="73" t="n">
        <x:f>MOD(INT(G195)-1,Control!$B$7)+1</x:f>
        <x:v>102</x:v>
      </x:c>
      <x:c r="I195" s="73" t="n">
        <x:f>MIN(Control!$B$6,MAX(1,INT(MAX(0,G195)/Control!$B$7)+1))</x:f>
        <x:v>1</x:v>
      </x:c>
      <x:c r="J195" s="73" t="n">
        <x:f>INDEX(Drivers!$H$8:$H$13,B195)</x:f>
        <x:v>2</x:v>
      </x:c>
      <x:c r="K195" s="73" t="n">
        <x:f>IF(J195=1,INDEX(TrackMap!$I$8:$I$141,H195),INDEX(TrackMap!$L$8:$L$141,H195))</x:f>
        <x:v>3049</x:v>
      </x:c>
      <x:c r="L195" s="73" t="str">
        <x:f>INDEX(TrackMap!$F$8:$F$141,H195)</x:f>
        <x:v>←</x:v>
      </x:c>
      <x:c r="M195" s="87" t="n">
        <x:f>MAX(0,G195/Control!$B$17)</x:f>
        <x:v>0.15355782682526115</x:v>
      </x:c>
      <x:c r="N195" s="73" t="n">
        <x:f>IF(N189&gt;0,N189,IF(G195&gt;=Control!$B$17,A195,0))</x:f>
        <x:v>0</x:v>
      </x:c>
      <x:c r="O195" s="91" t="n">
        <x:f>IF(N195&gt;0,Control!$B$17+Control!$B$8+1-N195,G195)-B195/100000</x:f>
        <x:v>102.88372397292495</x:v>
      </x:c>
      <x:c r="P195" s="73" t="n">
        <x:f>COUNTIF($O$194:$O$199,"&gt;"&amp;O195)+1</x:f>
        <x:v>3</x:v>
      </x:c>
      <x:c r="Q195" s="83" t="n">
        <x:f>MAX($G$194:$G$199)-G195</x:f>
        <x:v>4.908492378206802</x:v>
      </x:c>
      <x:c r="R195" s="73" t="str">
        <x:f>INDEX(TrackMap!$B$8:$B$141,H195)</x:f>
        <x:v>发车大直道</x:v>
      </x:c>
    </x:row>
    <x:row r="196" ht="20" customHeight="1">
      <x:c r="A196" s="73" t="n">
        <x:v>31</x:v>
      </x:c>
      <x:c r="B196" s="73" t="n">
        <x:v>3</x:v>
      </x:c>
      <x:c r="C196" s="73" t="str">
        <x:f>INDEX(Drivers!$B$8:$B$13,B196)</x:f>
        <x:v>金翼</x:v>
      </x:c>
      <x:c r="D196" s="83" t="n">
        <x:f>G190</x:f>
        <x:v>99.34808393258483</x:v>
      </x:c>
      <x:c r="E196" s="83" t="str">
        <x:f>IF(A196=0,"GRID",IF(D196&gt;=Control!$B$17,"FINISHED",IF(AND(A196&gt;=INDEX(Drivers!$G$8:$G$13,B196),A196&lt;INDEX(Drivers!$G$8:$G$13,B196)+INDEX(Drivers!$J$8:$J$13,B196)),"PIT",IF(MOD(A196+INDEX(Drivers!$F$8:$F$13,B196),Control!$B$11)&lt;Control!$B$13,"BOOST","RACE"))))</x:f>
        <x:v>RACE</x:v>
      </x:c>
      <x:c r="F196" s="83" t="n">
        <x:f>IF(OR(E196="GRID",E196="FINISHED",E196="PIT"),0,MAX(Control!$B$15,(INDEX(Drivers!$D$8:$D$13,B196)+INDEX(Drivers!$E$8:$E$13,B196)*SIN((A196+INDEX(Drivers!$F$8:$F$13,B196)+Control!$B$16)*Control!$B$14))*INDEX(TrackMap!$M$8:$M$141,MOD(INT(D196)-1,Control!$B$7)+1)*IF(E196="BOOST",Control!$B$12,1)))</x:f>
        <x:v>3.780226002990297</x:v>
      </x:c>
      <x:c r="G196" s="83" t="n">
        <x:f>IF(A196=0,D196,MIN(Control!$B$17,D196+F196))</x:f>
        <x:v>103.12830993557513</x:v>
      </x:c>
      <x:c r="H196" s="73" t="n">
        <x:f>MOD(INT(G196)-1,Control!$B$7)+1</x:f>
        <x:v>103</x:v>
      </x:c>
      <x:c r="I196" s="73" t="n">
        <x:f>MIN(Control!$B$6,MAX(1,INT(MAX(0,G196)/Control!$B$7)+1))</x:f>
        <x:v>1</x:v>
      </x:c>
      <x:c r="J196" s="73" t="n">
        <x:f>INDEX(Drivers!$H$8:$H$13,B196)</x:f>
        <x:v>1</x:v>
      </x:c>
      <x:c r="K196" s="73" t="n">
        <x:f>IF(J196=1,INDEX(TrackMap!$I$8:$I$141,H196),INDEX(TrackMap!$L$8:$L$141,H196))</x:f>
        <x:v>3148</x:v>
      </x:c>
      <x:c r="L196" s="73" t="str">
        <x:f>INDEX(TrackMap!$F$8:$F$141,H196)</x:f>
        <x:v>←</x:v>
      </x:c>
      <x:c r="M196" s="87" t="n">
        <x:f>MAX(0,G196/Control!$B$17)</x:f>
        <x:v>0.15392285065011213</x:v>
      </x:c>
      <x:c r="N196" s="73" t="n">
        <x:f>IF(N190&gt;0,N190,IF(G196&gt;=Control!$B$17,A196,0))</x:f>
        <x:v>0</x:v>
      </x:c>
      <x:c r="O196" s="91" t="n">
        <x:f>IF(N196&gt;0,Control!$B$17+Control!$B$8+1-N196,G196)-B196/100000</x:f>
        <x:v>103.12827993557514</x:v>
      </x:c>
      <x:c r="P196" s="73" t="n">
        <x:f>COUNTIF($O$194:$O$199,"&gt;"&amp;O196)+1</x:f>
        <x:v>2</x:v>
      </x:c>
      <x:c r="Q196" s="83" t="n">
        <x:f>MAX($G$194:$G$199)-G196</x:f>
        <x:v>4.663926415556631</x:v>
      </x:c>
      <x:c r="R196" s="73" t="str">
        <x:f>INDEX(TrackMap!$B$8:$B$141,H196)</x:f>
        <x:v>发车大直道</x:v>
      </x:c>
    </x:row>
    <x:row r="197" ht="20" customHeight="1">
      <x:c r="A197" s="73" t="n">
        <x:v>31</x:v>
      </x:c>
      <x:c r="B197" s="73" t="n">
        <x:v>4</x:v>
      </x:c>
      <x:c r="C197" s="73" t="str">
        <x:f>INDEX(Drivers!$B$8:$B$13,B197)</x:f>
        <x:v>紫影</x:v>
      </x:c>
      <x:c r="D197" s="83" t="n">
        <x:f>G191</x:f>
        <x:v>97.35343157736509</x:v>
      </x:c>
      <x:c r="E197" s="83" t="str">
        <x:f>IF(A197=0,"GRID",IF(D197&gt;=Control!$B$17,"FINISHED",IF(AND(A197&gt;=INDEX(Drivers!$G$8:$G$13,B197),A197&lt;INDEX(Drivers!$G$8:$G$13,B197)+INDEX(Drivers!$J$8:$J$13,B197)),"PIT",IF(MOD(A197+INDEX(Drivers!$F$8:$F$13,B197),Control!$B$11)&lt;Control!$B$13,"BOOST","RACE"))))</x:f>
        <x:v>RACE</x:v>
      </x:c>
      <x:c r="F197" s="83" t="n">
        <x:f>IF(OR(E197="GRID",E197="FINISHED",E197="PIT"),0,MAX(Control!$B$15,(INDEX(Drivers!$D$8:$D$13,B197)+INDEX(Drivers!$E$8:$E$13,B197)*SIN((A197+INDEX(Drivers!$F$8:$F$13,B197)+Control!$B$16)*Control!$B$14))*INDEX(TrackMap!$M$8:$M$141,MOD(INT(D197)-1,Control!$B$7)+1)*IF(E197="BOOST",Control!$B$12,1)))</x:f>
        <x:v>3.22073210561991</x:v>
      </x:c>
      <x:c r="G197" s="83" t="n">
        <x:f>IF(A197=0,D197,MIN(Control!$B$17,D197+F197))</x:f>
        <x:v>100.574163682985</x:v>
      </x:c>
      <x:c r="H197" s="73" t="n">
        <x:f>MOD(INT(G197)-1,Control!$B$7)+1</x:f>
        <x:v>100</x:v>
      </x:c>
      <x:c r="I197" s="73" t="n">
        <x:f>MIN(Control!$B$6,MAX(1,INT(MAX(0,G197)/Control!$B$7)+1))</x:f>
        <x:v>1</x:v>
      </x:c>
      <x:c r="J197" s="73" t="n">
        <x:f>INDEX(Drivers!$H$8:$H$13,B197)</x:f>
        <x:v>2</x:v>
      </x:c>
      <x:c r="K197" s="73" t="n">
        <x:f>IF(J197=1,INDEX(TrackMap!$I$8:$I$141,H197),INDEX(TrackMap!$L$8:$L$141,H197))</x:f>
        <x:v>2951</x:v>
      </x:c>
      <x:c r="L197" s="73" t="str">
        <x:f>INDEX(TrackMap!$F$8:$F$141,H197)</x:f>
        <x:v>↓</x:v>
      </x:c>
      <x:c r="M197" s="87" t="n">
        <x:f>MAX(0,G197/Control!$B$17)</x:f>
        <x:v>0.15011069206415673</x:v>
      </x:c>
      <x:c r="N197" s="73" t="n">
        <x:f>IF(N191&gt;0,N191,IF(G197&gt;=Control!$B$17,A197,0))</x:f>
        <x:v>0</x:v>
      </x:c>
      <x:c r="O197" s="91" t="n">
        <x:f>IF(N197&gt;0,Control!$B$17+Control!$B$8+1-N197,G197)-B197/100000</x:f>
        <x:v>100.574123682985</x:v>
      </x:c>
      <x:c r="P197" s="73" t="n">
        <x:f>COUNTIF($O$194:$O$199,"&gt;"&amp;O197)+1</x:f>
        <x:v>4</x:v>
      </x:c>
      <x:c r="Q197" s="83" t="n">
        <x:f>MAX($G$194:$G$199)-G197</x:f>
        <x:v>7.21807266814676</x:v>
      </x:c>
      <x:c r="R197" s="73" t="str">
        <x:f>INDEX(TrackMap!$B$8:$B$141,H197)</x:f>
        <x:v>东侧长直道</x:v>
      </x:c>
    </x:row>
    <x:row r="198" ht="20" customHeight="1">
      <x:c r="A198" s="73" t="n">
        <x:v>31</x:v>
      </x:c>
      <x:c r="B198" s="73" t="n">
        <x:v>5</x:v>
      </x:c>
      <x:c r="C198" s="73" t="str">
        <x:f>INDEX(Drivers!$B$8:$B$13,B198)</x:f>
        <x:v>青锋</x:v>
      </x:c>
      <x:c r="D198" s="83" t="n">
        <x:f>G192</x:f>
        <x:v>95.99269327195786</x:v>
      </x:c>
      <x:c r="E198" s="83" t="str">
        <x:f>IF(A198=0,"GRID",IF(D198&gt;=Control!$B$17,"FINISHED",IF(AND(A198&gt;=INDEX(Drivers!$G$8:$G$13,B198),A198&lt;INDEX(Drivers!$G$8:$G$13,B198)+INDEX(Drivers!$J$8:$J$13,B198)),"PIT",IF(MOD(A198+INDEX(Drivers!$F$8:$F$13,B198),Control!$B$11)&lt;Control!$B$13,"BOOST","RACE"))))</x:f>
        <x:v>RACE</x:v>
      </x:c>
      <x:c r="F198" s="83" t="n">
        <x:f>IF(OR(E198="GRID",E198="FINISHED",E198="PIT"),0,MAX(Control!$B$15,(INDEX(Drivers!$D$8:$D$13,B198)+INDEX(Drivers!$E$8:$E$13,B198)*SIN((A198+INDEX(Drivers!$F$8:$F$13,B198)+Control!$B$16)*Control!$B$14))*INDEX(TrackMap!$M$8:$M$141,MOD(INT(D198)-1,Control!$B$7)+1)*IF(E198="BOOST",Control!$B$12,1)))</x:f>
        <x:v>3.287293611958373</x:v>
      </x:c>
      <x:c r="G198" s="83" t="n">
        <x:f>IF(A198=0,D198,MIN(Control!$B$17,D198+F198))</x:f>
        <x:v>99.27998688391624</x:v>
      </x:c>
      <x:c r="H198" s="73" t="n">
        <x:f>MOD(INT(G198)-1,Control!$B$7)+1</x:f>
        <x:v>99</x:v>
      </x:c>
      <x:c r="I198" s="73" t="n">
        <x:f>MIN(Control!$B$6,MAX(1,INT(MAX(0,G198)/Control!$B$7)+1))</x:f>
        <x:v>1</x:v>
      </x:c>
      <x:c r="J198" s="73" t="n">
        <x:f>INDEX(Drivers!$H$8:$H$13,B198)</x:f>
        <x:v>1</x:v>
      </x:c>
      <x:c r="K198" s="73" t="n">
        <x:f>IF(J198=1,INDEX(TrackMap!$I$8:$I$141,H198),INDEX(TrackMap!$L$8:$L$141,H198))</x:f>
        <x:v>2852</x:v>
      </x:c>
      <x:c r="L198" s="73" t="str">
        <x:f>INDEX(TrackMap!$F$8:$F$141,H198)</x:f>
        <x:v>↓</x:v>
      </x:c>
      <x:c r="M198" s="87" t="n">
        <x:f>MAX(0,G198/Control!$B$17)</x:f>
        <x:v>0.14817908490136752</x:v>
      </x:c>
      <x:c r="N198" s="73" t="n">
        <x:f>IF(N192&gt;0,N192,IF(G198&gt;=Control!$B$17,A198,0))</x:f>
        <x:v>0</x:v>
      </x:c>
      <x:c r="O198" s="91" t="n">
        <x:f>IF(N198&gt;0,Control!$B$17+Control!$B$8+1-N198,G198)-B198/100000</x:f>
        <x:v>99.27993688391624</x:v>
      </x:c>
      <x:c r="P198" s="73" t="n">
        <x:f>COUNTIF($O$194:$O$199,"&gt;"&amp;O198)+1</x:f>
        <x:v>5</x:v>
      </x:c>
      <x:c r="Q198" s="83" t="n">
        <x:f>MAX($G$194:$G$199)-G198</x:f>
        <x:v>8.512249467215526</x:v>
      </x:c>
      <x:c r="R198" s="73" t="str">
        <x:f>INDEX(TrackMap!$B$8:$B$141,H198)</x:f>
        <x:v>东侧长直道</x:v>
      </x:c>
    </x:row>
    <x:row r="199" ht="20" customHeight="1">
      <x:c r="A199" s="73" t="n">
        <x:v>31</x:v>
      </x:c>
      <x:c r="B199" s="73" t="n">
        <x:v>6</x:v>
      </x:c>
      <x:c r="C199" s="73" t="str">
        <x:f>INDEX(Drivers!$B$8:$B$13,B199)</x:f>
        <x:v>玫速</x:v>
      </x:c>
      <x:c r="D199" s="83" t="n">
        <x:f>G193</x:f>
        <x:v>93.91272579848427</x:v>
      </x:c>
      <x:c r="E199" s="83" t="str">
        <x:f>IF(A199=0,"GRID",IF(D199&gt;=Control!$B$17,"FINISHED",IF(AND(A199&gt;=INDEX(Drivers!$G$8:$G$13,B199),A199&lt;INDEX(Drivers!$G$8:$G$13,B199)+INDEX(Drivers!$J$8:$J$13,B199)),"PIT",IF(MOD(A199+INDEX(Drivers!$F$8:$F$13,B199),Control!$B$11)&lt;Control!$B$13,"BOOST","RACE"))))</x:f>
        <x:v>RACE</x:v>
      </x:c>
      <x:c r="F199" s="83" t="n">
        <x:f>IF(OR(E199="GRID",E199="FINISHED",E199="PIT"),0,MAX(Control!$B$15,(INDEX(Drivers!$D$8:$D$13,B199)+INDEX(Drivers!$E$8:$E$13,B199)*SIN((A199+INDEX(Drivers!$F$8:$F$13,B199)+Control!$B$16)*Control!$B$14))*INDEX(TrackMap!$M$8:$M$141,MOD(INT(D199)-1,Control!$B$7)+1)*IF(E199="BOOST",Control!$B$12,1)))</x:f>
        <x:v>4.25326431581316</x:v>
      </x:c>
      <x:c r="G199" s="83" t="n">
        <x:f>IF(A199=0,D199,MIN(Control!$B$17,D199+F199))</x:f>
        <x:v>98.16599011429743</x:v>
      </x:c>
      <x:c r="H199" s="73" t="n">
        <x:f>MOD(INT(G199)-1,Control!$B$7)+1</x:f>
        <x:v>98</x:v>
      </x:c>
      <x:c r="I199" s="73" t="n">
        <x:f>MIN(Control!$B$6,MAX(1,INT(MAX(0,G199)/Control!$B$7)+1))</x:f>
        <x:v>1</x:v>
      </x:c>
      <x:c r="J199" s="73" t="n">
        <x:f>INDEX(Drivers!$H$8:$H$13,B199)</x:f>
        <x:v>2</x:v>
      </x:c>
      <x:c r="K199" s="73" t="n">
        <x:f>IF(J199=1,INDEX(TrackMap!$I$8:$I$141,H199),INDEX(TrackMap!$L$8:$L$141,H199))</x:f>
        <x:v>2751</x:v>
      </x:c>
      <x:c r="L199" s="73" t="str">
        <x:f>INDEX(TrackMap!$F$8:$F$141,H199)</x:f>
        <x:v>↓</x:v>
      </x:c>
      <x:c r="M199" s="87" t="n">
        <x:f>MAX(0,G199/Control!$B$17)</x:f>
        <x:v>0.1465164031556678</x:v>
      </x:c>
      <x:c r="N199" s="73" t="n">
        <x:f>IF(N193&gt;0,N193,IF(G199&gt;=Control!$B$17,A199,0))</x:f>
        <x:v>0</x:v>
      </x:c>
      <x:c r="O199" s="91" t="n">
        <x:f>IF(N199&gt;0,Control!$B$17+Control!$B$8+1-N199,G199)-B199/100000</x:f>
        <x:v>98.16593011429742</x:v>
      </x:c>
      <x:c r="P199" s="73" t="n">
        <x:f>COUNTIF($O$194:$O$199,"&gt;"&amp;O199)+1</x:f>
        <x:v>6</x:v>
      </x:c>
      <x:c r="Q199" s="83" t="n">
        <x:f>MAX($G$194:$G$199)-G199</x:f>
        <x:v>9.626246236834334</x:v>
      </x:c>
      <x:c r="R199" s="73" t="str">
        <x:f>INDEX(TrackMap!$B$8:$B$141,H199)</x:f>
        <x:v>东侧长直道</x:v>
      </x:c>
    </x:row>
    <x:row r="200" ht="20" customHeight="1">
      <x:c r="A200" s="73" t="n">
        <x:v>32</x:v>
      </x:c>
      <x:c r="B200" s="73" t="n">
        <x:v>1</x:v>
      </x:c>
      <x:c r="C200" s="73" t="str">
        <x:f>INDEX(Drivers!$B$8:$B$13,B200)</x:f>
        <x:v>赤焰</x:v>
      </x:c>
      <x:c r="D200" s="83" t="n">
        <x:f>G194</x:f>
        <x:v>107.79223635113176</x:v>
      </x:c>
      <x:c r="E200" s="83" t="str">
        <x:f>IF(A200=0,"GRID",IF(D200&gt;=Control!$B$17,"FINISHED",IF(AND(A200&gt;=INDEX(Drivers!$G$8:$G$13,B200),A200&lt;INDEX(Drivers!$G$8:$G$13,B200)+INDEX(Drivers!$J$8:$J$13,B200)),"PIT",IF(MOD(A200+INDEX(Drivers!$F$8:$F$13,B200),Control!$B$11)&lt;Control!$B$13,"BOOST","RACE"))))</x:f>
        <x:v>BOOST</x:v>
      </x:c>
      <x:c r="F200" s="83" t="n">
        <x:f>IF(OR(E200="GRID",E200="FINISHED",E200="PIT"),0,MAX(Control!$B$15,(INDEX(Drivers!$D$8:$D$13,B200)+INDEX(Drivers!$E$8:$E$13,B200)*SIN((A200+INDEX(Drivers!$F$8:$F$13,B200)+Control!$B$16)*Control!$B$14))*INDEX(TrackMap!$M$8:$M$141,MOD(INT(D200)-1,Control!$B$7)+1)*IF(E200="BOOST",Control!$B$12,1)))</x:f>
        <x:v>4.20971922188431</x:v>
      </x:c>
      <x:c r="G200" s="83" t="n">
        <x:f>IF(A200=0,D200,MIN(Control!$B$17,D200+F200))</x:f>
        <x:v>112.00195557301608</x:v>
      </x:c>
      <x:c r="H200" s="73" t="n">
        <x:f>MOD(INT(G200)-1,Control!$B$7)+1</x:f>
        <x:v>112</x:v>
      </x:c>
      <x:c r="I200" s="73" t="n">
        <x:f>MIN(Control!$B$6,MAX(1,INT(MAX(0,G200)/Control!$B$7)+1))</x:f>
        <x:v>1</x:v>
      </x:c>
      <x:c r="J200" s="73" t="n">
        <x:f>INDEX(Drivers!$H$8:$H$13,B200)</x:f>
        <x:v>1</x:v>
      </x:c>
      <x:c r="K200" s="73" t="n">
        <x:f>IF(J200=1,INDEX(TrackMap!$I$8:$I$141,H200),INDEX(TrackMap!$L$8:$L$141,H200))</x:f>
        <x:v>3139</x:v>
      </x:c>
      <x:c r="L200" s="73" t="str">
        <x:f>INDEX(TrackMap!$F$8:$F$141,H200)</x:f>
        <x:v>←</x:v>
      </x:c>
      <x:c r="M200" s="87" t="n">
        <x:f>MAX(0,G200/Control!$B$17)</x:f>
        <x:v>0.16716709787017325</x:v>
      </x:c>
      <x:c r="N200" s="73" t="n">
        <x:f>IF(N194&gt;0,N194,IF(G200&gt;=Control!$B$17,A200,0))</x:f>
        <x:v>0</x:v>
      </x:c>
      <x:c r="O200" s="91" t="n">
        <x:f>IF(N200&gt;0,Control!$B$17+Control!$B$8+1-N200,G200)-B200/100000</x:f>
        <x:v>112.00194557301607</x:v>
      </x:c>
      <x:c r="P200" s="73" t="n">
        <x:f>COUNTIF($O$200:$O$205,"&gt;"&amp;O200)+1</x:f>
        <x:v>1</x:v>
      </x:c>
      <x:c r="Q200" s="83" t="n">
        <x:f>MAX($G$200:$G$205)-G200</x:f>
        <x:v>0</x:v>
      </x:c>
      <x:c r="R200" s="73" t="str">
        <x:f>INDEX(TrackMap!$B$8:$B$141,H200)</x:f>
        <x:v>发车大直道</x:v>
      </x:c>
    </x:row>
    <x:row r="201" ht="20" customHeight="1">
      <x:c r="A201" s="73" t="n">
        <x:v>32</x:v>
      </x:c>
      <x:c r="B201" s="73" t="n">
        <x:v>2</x:v>
      </x:c>
      <x:c r="C201" s="73" t="str">
        <x:f>INDEX(Drivers!$B$8:$B$13,B201)</x:f>
        <x:v>蓝电</x:v>
      </x:c>
      <x:c r="D201" s="83" t="n">
        <x:f>G195</x:f>
        <x:v>102.88374397292496</x:v>
      </x:c>
      <x:c r="E201" s="83" t="str">
        <x:f>IF(A201=0,"GRID",IF(D201&gt;=Control!$B$17,"FINISHED",IF(AND(A201&gt;=INDEX(Drivers!$G$8:$G$13,B201),A201&lt;INDEX(Drivers!$G$8:$G$13,B201)+INDEX(Drivers!$J$8:$J$13,B201)),"PIT",IF(MOD(A201+INDEX(Drivers!$F$8:$F$13,B201),Control!$B$11)&lt;Control!$B$13,"BOOST","RACE"))))</x:f>
        <x:v>RACE</x:v>
      </x:c>
      <x:c r="F201" s="83" t="n">
        <x:f>IF(OR(E201="GRID",E201="FINISHED",E201="PIT"),0,MAX(Control!$B$15,(INDEX(Drivers!$D$8:$D$13,B201)+INDEX(Drivers!$E$8:$E$13,B201)*SIN((A201+INDEX(Drivers!$F$8:$F$13,B201)+Control!$B$16)*Control!$B$14))*INDEX(TrackMap!$M$8:$M$141,MOD(INT(D201)-1,Control!$B$7)+1)*IF(E201="BOOST",Control!$B$12,1)))</x:f>
        <x:v>3.1149658462559504</x:v>
      </x:c>
      <x:c r="G201" s="83" t="n">
        <x:f>IF(A201=0,D201,MIN(Control!$B$17,D201+F201))</x:f>
        <x:v>105.99870981918092</x:v>
      </x:c>
      <x:c r="H201" s="73" t="n">
        <x:f>MOD(INT(G201)-1,Control!$B$7)+1</x:f>
        <x:v>105</x:v>
      </x:c>
      <x:c r="I201" s="73" t="n">
        <x:f>MIN(Control!$B$6,MAX(1,INT(MAX(0,G201)/Control!$B$7)+1))</x:f>
        <x:v>1</x:v>
      </x:c>
      <x:c r="J201" s="73" t="n">
        <x:f>INDEX(Drivers!$H$8:$H$13,B201)</x:f>
        <x:v>2</x:v>
      </x:c>
      <x:c r="K201" s="73" t="n">
        <x:f>IF(J201=1,INDEX(TrackMap!$I$8:$I$141,H201),INDEX(TrackMap!$L$8:$L$141,H201))</x:f>
        <x:v>3046</x:v>
      </x:c>
      <x:c r="L201" s="73" t="str">
        <x:f>INDEX(TrackMap!$F$8:$F$141,H201)</x:f>
        <x:v>←</x:v>
      </x:c>
      <x:c r="M201" s="87" t="n">
        <x:f>MAX(0,G201/Control!$B$17)</x:f>
        <x:v>0.15820702958086705</x:v>
      </x:c>
      <x:c r="N201" s="73" t="n">
        <x:f>IF(N195&gt;0,N195,IF(G201&gt;=Control!$B$17,A201,0))</x:f>
        <x:v>0</x:v>
      </x:c>
      <x:c r="O201" s="91" t="n">
        <x:f>IF(N201&gt;0,Control!$B$17+Control!$B$8+1-N201,G201)-B201/100000</x:f>
        <x:v>105.99868981918091</x:v>
      </x:c>
      <x:c r="P201" s="73" t="n">
        <x:f>COUNTIF($O$200:$O$205,"&gt;"&amp;O201)+1</x:f>
        <x:v>3</x:v>
      </x:c>
      <x:c r="Q201" s="83" t="n">
        <x:f>MAX($G$200:$G$205)-G201</x:f>
        <x:v>6.003245753835159</x:v>
      </x:c>
      <x:c r="R201" s="73" t="str">
        <x:f>INDEX(TrackMap!$B$8:$B$141,H201)</x:f>
        <x:v>发车大直道</x:v>
      </x:c>
    </x:row>
    <x:row r="202" ht="20" customHeight="1">
      <x:c r="A202" s="73" t="n">
        <x:v>32</x:v>
      </x:c>
      <x:c r="B202" s="73" t="n">
        <x:v>3</x:v>
      </x:c>
      <x:c r="C202" s="73" t="str">
        <x:f>INDEX(Drivers!$B$8:$B$13,B202)</x:f>
        <x:v>金翼</x:v>
      </x:c>
      <x:c r="D202" s="83" t="n">
        <x:f>G196</x:f>
        <x:v>103.12830993557513</x:v>
      </x:c>
      <x:c r="E202" s="83" t="str">
        <x:f>IF(A202=0,"GRID",IF(D202&gt;=Control!$B$17,"FINISHED",IF(AND(A202&gt;=INDEX(Drivers!$G$8:$G$13,B202),A202&lt;INDEX(Drivers!$G$8:$G$13,B202)+INDEX(Drivers!$J$8:$J$13,B202)),"PIT",IF(MOD(A202+INDEX(Drivers!$F$8:$F$13,B202),Control!$B$11)&lt;Control!$B$13,"BOOST","RACE"))))</x:f>
        <x:v>RACE</x:v>
      </x:c>
      <x:c r="F202" s="83" t="n">
        <x:f>IF(OR(E202="GRID",E202="FINISHED",E202="PIT"),0,MAX(Control!$B$15,(INDEX(Drivers!$D$8:$D$13,B202)+INDEX(Drivers!$E$8:$E$13,B202)*SIN((A202+INDEX(Drivers!$F$8:$F$13,B202)+Control!$B$16)*Control!$B$14))*INDEX(TrackMap!$M$8:$M$141,MOD(INT(D202)-1,Control!$B$7)+1)*IF(E202="BOOST",Control!$B$12,1)))</x:f>
        <x:v>3.5963317896966207</x:v>
      </x:c>
      <x:c r="G202" s="83" t="n">
        <x:f>IF(A202=0,D202,MIN(Control!$B$17,D202+F202))</x:f>
        <x:v>106.72464172527175</x:v>
      </x:c>
      <x:c r="H202" s="73" t="n">
        <x:f>MOD(INT(G202)-1,Control!$B$7)+1</x:f>
        <x:v>106</x:v>
      </x:c>
      <x:c r="I202" s="73" t="n">
        <x:f>MIN(Control!$B$6,MAX(1,INT(MAX(0,G202)/Control!$B$7)+1))</x:f>
        <x:v>1</x:v>
      </x:c>
      <x:c r="J202" s="73" t="n">
        <x:f>INDEX(Drivers!$H$8:$H$13,B202)</x:f>
        <x:v>1</x:v>
      </x:c>
      <x:c r="K202" s="73" t="n">
        <x:f>IF(J202=1,INDEX(TrackMap!$I$8:$I$141,H202),INDEX(TrackMap!$L$8:$L$141,H202))</x:f>
        <x:v>3145</x:v>
      </x:c>
      <x:c r="L202" s="73" t="str">
        <x:f>INDEX(TrackMap!$F$8:$F$141,H202)</x:f>
        <x:v>←</x:v>
      </x:c>
      <x:c r="M202" s="87" t="n">
        <x:f>MAX(0,G202/Control!$B$17)</x:f>
        <x:v>0.15929051003771905</x:v>
      </x:c>
      <x:c r="N202" s="73" t="n">
        <x:f>IF(N196&gt;0,N196,IF(G202&gt;=Control!$B$17,A202,0))</x:f>
        <x:v>0</x:v>
      </x:c>
      <x:c r="O202" s="91" t="n">
        <x:f>IF(N202&gt;0,Control!$B$17+Control!$B$8+1-N202,G202)-B202/100000</x:f>
        <x:v>106.72461172527176</x:v>
      </x:c>
      <x:c r="P202" s="73" t="n">
        <x:f>COUNTIF($O$200:$O$205,"&gt;"&amp;O202)+1</x:f>
        <x:v>2</x:v>
      </x:c>
      <x:c r="Q202" s="83" t="n">
        <x:f>MAX($G$200:$G$205)-G202</x:f>
        <x:v>5.277313847744324</x:v>
      </x:c>
      <x:c r="R202" s="73" t="str">
        <x:f>INDEX(TrackMap!$B$8:$B$141,H202)</x:f>
        <x:v>发车大直道</x:v>
      </x:c>
    </x:row>
    <x:row r="203" ht="20" customHeight="1">
      <x:c r="A203" s="73" t="n">
        <x:v>32</x:v>
      </x:c>
      <x:c r="B203" s="73" t="n">
        <x:v>4</x:v>
      </x:c>
      <x:c r="C203" s="73" t="str">
        <x:f>INDEX(Drivers!$B$8:$B$13,B203)</x:f>
        <x:v>紫影</x:v>
      </x:c>
      <x:c r="D203" s="83" t="n">
        <x:f>G197</x:f>
        <x:v>100.574163682985</x:v>
      </x:c>
      <x:c r="E203" s="83" t="str">
        <x:f>IF(A203=0,"GRID",IF(D203&gt;=Control!$B$17,"FINISHED",IF(AND(A203&gt;=INDEX(Drivers!$G$8:$G$13,B203),A203&lt;INDEX(Drivers!$G$8:$G$13,B203)+INDEX(Drivers!$J$8:$J$13,B203)),"PIT",IF(MOD(A203+INDEX(Drivers!$F$8:$F$13,B203),Control!$B$11)&lt;Control!$B$13,"BOOST","RACE"))))</x:f>
        <x:v>RACE</x:v>
      </x:c>
      <x:c r="F203" s="83" t="n">
        <x:f>IF(OR(E203="GRID",E203="FINISHED",E203="PIT"),0,MAX(Control!$B$15,(INDEX(Drivers!$D$8:$D$13,B203)+INDEX(Drivers!$E$8:$E$13,B203)*SIN((A203+INDEX(Drivers!$F$8:$F$13,B203)+Control!$B$16)*Control!$B$14))*INDEX(TrackMap!$M$8:$M$141,MOD(INT(D203)-1,Control!$B$7)+1)*IF(E203="BOOST",Control!$B$12,1)))</x:f>
        <x:v>2.6559618677131915</x:v>
      </x:c>
      <x:c r="G203" s="83" t="n">
        <x:f>IF(A203=0,D203,MIN(Control!$B$17,D203+F203))</x:f>
        <x:v>103.23012555069819</x:v>
      </x:c>
      <x:c r="H203" s="73" t="n">
        <x:f>MOD(INT(G203)-1,Control!$B$7)+1</x:f>
        <x:v>103</x:v>
      </x:c>
      <x:c r="I203" s="73" t="n">
        <x:f>MIN(Control!$B$6,MAX(1,INT(MAX(0,G203)/Control!$B$7)+1))</x:f>
        <x:v>1</x:v>
      </x:c>
      <x:c r="J203" s="73" t="n">
        <x:f>INDEX(Drivers!$H$8:$H$13,B203)</x:f>
        <x:v>2</x:v>
      </x:c>
      <x:c r="K203" s="73" t="n">
        <x:f>IF(J203=1,INDEX(TrackMap!$I$8:$I$141,H203),INDEX(TrackMap!$L$8:$L$141,H203))</x:f>
        <x:v>3048</x:v>
      </x:c>
      <x:c r="L203" s="73" t="str">
        <x:f>INDEX(TrackMap!$F$8:$F$141,H203)</x:f>
        <x:v>←</x:v>
      </x:c>
      <x:c r="M203" s="87" t="n">
        <x:f>MAX(0,G203/Control!$B$17)</x:f>
        <x:v>0.15407481425477343</x:v>
      </x:c>
      <x:c r="N203" s="73" t="n">
        <x:f>IF(N197&gt;0,N197,IF(G203&gt;=Control!$B$17,A203,0))</x:f>
        <x:v>0</x:v>
      </x:c>
      <x:c r="O203" s="91" t="n">
        <x:f>IF(N203&gt;0,Control!$B$17+Control!$B$8+1-N203,G203)-B203/100000</x:f>
        <x:v>103.23008555069819</x:v>
      </x:c>
      <x:c r="P203" s="73" t="n">
        <x:f>COUNTIF($O$200:$O$205,"&gt;"&amp;O203)+1</x:f>
        <x:v>4</x:v>
      </x:c>
      <x:c r="Q203" s="83" t="n">
        <x:f>MAX($G$200:$G$205)-G203</x:f>
        <x:v>8.771830022317886</x:v>
      </x:c>
      <x:c r="R203" s="73" t="str">
        <x:f>INDEX(TrackMap!$B$8:$B$141,H203)</x:f>
        <x:v>发车大直道</x:v>
      </x:c>
    </x:row>
    <x:row r="204" ht="20" customHeight="1">
      <x:c r="A204" s="73" t="n">
        <x:v>32</x:v>
      </x:c>
      <x:c r="B204" s="73" t="n">
        <x:v>5</x:v>
      </x:c>
      <x:c r="C204" s="73" t="str">
        <x:f>INDEX(Drivers!$B$8:$B$13,B204)</x:f>
        <x:v>青锋</x:v>
      </x:c>
      <x:c r="D204" s="83" t="n">
        <x:f>G198</x:f>
        <x:v>99.27998688391624</x:v>
      </x:c>
      <x:c r="E204" s="83" t="str">
        <x:f>IF(A204=0,"GRID",IF(D204&gt;=Control!$B$17,"FINISHED",IF(AND(A204&gt;=INDEX(Drivers!$G$8:$G$13,B204),A204&lt;INDEX(Drivers!$G$8:$G$13,B204)+INDEX(Drivers!$J$8:$J$13,B204)),"PIT",IF(MOD(A204+INDEX(Drivers!$F$8:$F$13,B204),Control!$B$11)&lt;Control!$B$13,"BOOST","RACE"))))</x:f>
        <x:v>RACE</x:v>
      </x:c>
      <x:c r="F204" s="83" t="n">
        <x:f>IF(OR(E204="GRID",E204="FINISHED",E204="PIT"),0,MAX(Control!$B$15,(INDEX(Drivers!$D$8:$D$13,B204)+INDEX(Drivers!$E$8:$E$13,B204)*SIN((A204+INDEX(Drivers!$F$8:$F$13,B204)+Control!$B$16)*Control!$B$14))*INDEX(TrackMap!$M$8:$M$141,MOD(INT(D204)-1,Control!$B$7)+1)*IF(E204="BOOST",Control!$B$12,1)))</x:f>
        <x:v>3.451910078395801</x:v>
      </x:c>
      <x:c r="G204" s="83" t="n">
        <x:f>IF(A204=0,D204,MIN(Control!$B$17,D204+F204))</x:f>
        <x:v>102.73189696231204</x:v>
      </x:c>
      <x:c r="H204" s="73" t="n">
        <x:f>MOD(INT(G204)-1,Control!$B$7)+1</x:f>
        <x:v>102</x:v>
      </x:c>
      <x:c r="I204" s="73" t="n">
        <x:f>MIN(Control!$B$6,MAX(1,INT(MAX(0,G204)/Control!$B$7)+1))</x:f>
        <x:v>1</x:v>
      </x:c>
      <x:c r="J204" s="73" t="n">
        <x:f>INDEX(Drivers!$H$8:$H$13,B204)</x:f>
        <x:v>1</x:v>
      </x:c>
      <x:c r="K204" s="73" t="n">
        <x:f>IF(J204=1,INDEX(TrackMap!$I$8:$I$141,H204),INDEX(TrackMap!$L$8:$L$141,H204))</x:f>
        <x:v>3149</x:v>
      </x:c>
      <x:c r="L204" s="73" t="str">
        <x:f>INDEX(TrackMap!$F$8:$F$141,H204)</x:f>
        <x:v>←</x:v>
      </x:c>
      <x:c r="M204" s="87" t="n">
        <x:f>MAX(0,G204/Control!$B$17)</x:f>
        <x:v>0.15333118949598812</x:v>
      </x:c>
      <x:c r="N204" s="73" t="n">
        <x:f>IF(N198&gt;0,N198,IF(G204&gt;=Control!$B$17,A204,0))</x:f>
        <x:v>0</x:v>
      </x:c>
      <x:c r="O204" s="91" t="n">
        <x:f>IF(N204&gt;0,Control!$B$17+Control!$B$8+1-N204,G204)-B204/100000</x:f>
        <x:v>102.73184696231203</x:v>
      </x:c>
      <x:c r="P204" s="73" t="n">
        <x:f>COUNTIF($O$200:$O$205,"&gt;"&amp;O204)+1</x:f>
        <x:v>5</x:v>
      </x:c>
      <x:c r="Q204" s="83" t="n">
        <x:f>MAX($G$200:$G$205)-G204</x:f>
        <x:v>9.27005861070404</x:v>
      </x:c>
      <x:c r="R204" s="73" t="str">
        <x:f>INDEX(TrackMap!$B$8:$B$141,H204)</x:f>
        <x:v>发车大直道</x:v>
      </x:c>
    </x:row>
    <x:row r="205" ht="20" customHeight="1">
      <x:c r="A205" s="73" t="n">
        <x:v>32</x:v>
      </x:c>
      <x:c r="B205" s="73" t="n">
        <x:v>6</x:v>
      </x:c>
      <x:c r="C205" s="73" t="str">
        <x:f>INDEX(Drivers!$B$8:$B$13,B205)</x:f>
        <x:v>玫速</x:v>
      </x:c>
      <x:c r="D205" s="83" t="n">
        <x:f>G199</x:f>
        <x:v>98.16599011429743</x:v>
      </x:c>
      <x:c r="E205" s="83" t="str">
        <x:f>IF(A205=0,"GRID",IF(D205&gt;=Control!$B$17,"FINISHED",IF(AND(A205&gt;=INDEX(Drivers!$G$8:$G$13,B205),A205&lt;INDEX(Drivers!$G$8:$G$13,B205)+INDEX(Drivers!$J$8:$J$13,B205)),"PIT",IF(MOD(A205+INDEX(Drivers!$F$8:$F$13,B205),Control!$B$11)&lt;Control!$B$13,"BOOST","RACE"))))</x:f>
        <x:v>RACE</x:v>
      </x:c>
      <x:c r="F205" s="83" t="n">
        <x:f>IF(OR(E205="GRID",E205="FINISHED",E205="PIT"),0,MAX(Control!$B$15,(INDEX(Drivers!$D$8:$D$13,B205)+INDEX(Drivers!$E$8:$E$13,B205)*SIN((A205+INDEX(Drivers!$F$8:$F$13,B205)+Control!$B$16)*Control!$B$14))*INDEX(TrackMap!$M$8:$M$141,MOD(INT(D205)-1,Control!$B$7)+1)*IF(E205="BOOST",Control!$B$12,1)))</x:f>
        <x:v>4.1504242151165744</x:v>
      </x:c>
      <x:c r="G205" s="83" t="n">
        <x:f>IF(A205=0,D205,MIN(Control!$B$17,D205+F205))</x:f>
        <x:v>102.316414329414</x:v>
      </x:c>
      <x:c r="H205" s="73" t="n">
        <x:f>MOD(INT(G205)-1,Control!$B$7)+1</x:f>
        <x:v>102</x:v>
      </x:c>
      <x:c r="I205" s="73" t="n">
        <x:f>MIN(Control!$B$6,MAX(1,INT(MAX(0,G205)/Control!$B$7)+1))</x:f>
        <x:v>1</x:v>
      </x:c>
      <x:c r="J205" s="73" t="n">
        <x:f>INDEX(Drivers!$H$8:$H$13,B205)</x:f>
        <x:v>2</x:v>
      </x:c>
      <x:c r="K205" s="73" t="n">
        <x:f>IF(J205=1,INDEX(TrackMap!$I$8:$I$141,H205),INDEX(TrackMap!$L$8:$L$141,H205))</x:f>
        <x:v>3049</x:v>
      </x:c>
      <x:c r="L205" s="73" t="str">
        <x:f>INDEX(TrackMap!$F$8:$F$141,H205)</x:f>
        <x:v>←</x:v>
      </x:c>
      <x:c r="M205" s="87" t="n">
        <x:f>MAX(0,G205/Control!$B$17)</x:f>
        <x:v>0.1527110661633045</x:v>
      </x:c>
      <x:c r="N205" s="73" t="n">
        <x:f>IF(N199&gt;0,N199,IF(G205&gt;=Control!$B$17,A205,0))</x:f>
        <x:v>0</x:v>
      </x:c>
      <x:c r="O205" s="91" t="n">
        <x:f>IF(N205&gt;0,Control!$B$17+Control!$B$8+1-N205,G205)-B205/100000</x:f>
        <x:v>102.316354329414</x:v>
      </x:c>
      <x:c r="P205" s="73" t="n">
        <x:f>COUNTIF($O$200:$O$205,"&gt;"&amp;O205)+1</x:f>
        <x:v>6</x:v>
      </x:c>
      <x:c r="Q205" s="83" t="n">
        <x:f>MAX($G$200:$G$205)-G205</x:f>
        <x:v>9.685541243602074</x:v>
      </x:c>
      <x:c r="R205" s="73" t="str">
        <x:f>INDEX(TrackMap!$B$8:$B$141,H205)</x:f>
        <x:v>发车大直道</x:v>
      </x:c>
    </x:row>
    <x:row r="206" ht="20" customHeight="1">
      <x:c r="A206" s="73" t="n">
        <x:v>33</x:v>
      </x:c>
      <x:c r="B206" s="73" t="n">
        <x:v>1</x:v>
      </x:c>
      <x:c r="C206" s="73" t="str">
        <x:f>INDEX(Drivers!$B$8:$B$13,B206)</x:f>
        <x:v>赤焰</x:v>
      </x:c>
      <x:c r="D206" s="83" t="n">
        <x:f>G200</x:f>
        <x:v>112.00195557301608</x:v>
      </x:c>
      <x:c r="E206" s="83" t="str">
        <x:f>IF(A206=0,"GRID",IF(D206&gt;=Control!$B$17,"FINISHED",IF(AND(A206&gt;=INDEX(Drivers!$G$8:$G$13,B206),A206&lt;INDEX(Drivers!$G$8:$G$13,B206)+INDEX(Drivers!$J$8:$J$13,B206)),"PIT",IF(MOD(A206+INDEX(Drivers!$F$8:$F$13,B206),Control!$B$11)&lt;Control!$B$13,"BOOST","RACE"))))</x:f>
        <x:v>RACE</x:v>
      </x:c>
      <x:c r="F206" s="83" t="n">
        <x:f>IF(OR(E206="GRID",E206="FINISHED",E206="PIT"),0,MAX(Control!$B$15,(INDEX(Drivers!$D$8:$D$13,B206)+INDEX(Drivers!$E$8:$E$13,B206)*SIN((A206+INDEX(Drivers!$F$8:$F$13,B206)+Control!$B$16)*Control!$B$14))*INDEX(TrackMap!$M$8:$M$141,MOD(INT(D206)-1,Control!$B$7)+1)*IF(E206="BOOST",Control!$B$12,1)))</x:f>
        <x:v>3.1033994599334656</x:v>
      </x:c>
      <x:c r="G206" s="83" t="n">
        <x:f>IF(A206=0,D206,MIN(Control!$B$17,D206+F206))</x:f>
        <x:v>115.10535503294955</x:v>
      </x:c>
      <x:c r="H206" s="73" t="n">
        <x:f>MOD(INT(G206)-1,Control!$B$7)+1</x:f>
        <x:v>115</x:v>
      </x:c>
      <x:c r="I206" s="73" t="n">
        <x:f>MIN(Control!$B$6,MAX(1,INT(MAX(0,G206)/Control!$B$7)+1))</x:f>
        <x:v>1</x:v>
      </x:c>
      <x:c r="J206" s="73" t="n">
        <x:f>INDEX(Drivers!$H$8:$H$13,B206)</x:f>
        <x:v>1</x:v>
      </x:c>
      <x:c r="K206" s="73" t="n">
        <x:f>IF(J206=1,INDEX(TrackMap!$I$8:$I$141,H206),INDEX(TrackMap!$L$8:$L$141,H206))</x:f>
        <x:v>3136</x:v>
      </x:c>
      <x:c r="L206" s="73" t="str">
        <x:f>INDEX(TrackMap!$F$8:$F$141,H206)</x:f>
        <x:v>←</x:v>
      </x:c>
      <x:c r="M206" s="87" t="n">
        <x:f>MAX(0,G206/Control!$B$17)</x:f>
        <x:v>0.17179903736261126</x:v>
      </x:c>
      <x:c r="N206" s="73" t="n">
        <x:f>IF(N200&gt;0,N200,IF(G206&gt;=Control!$B$17,A206,0))</x:f>
        <x:v>0</x:v>
      </x:c>
      <x:c r="O206" s="91" t="n">
        <x:f>IF(N206&gt;0,Control!$B$17+Control!$B$8+1-N206,G206)-B206/100000</x:f>
        <x:v>115.10534503294954</x:v>
      </x:c>
      <x:c r="P206" s="73" t="n">
        <x:f>COUNTIF($O$206:$O$211,"&gt;"&amp;O206)+1</x:f>
        <x:v>1</x:v>
      </x:c>
      <x:c r="Q206" s="83" t="n">
        <x:f>MAX($G$206:$G$211)-G206</x:f>
        <x:v>0</x:v>
      </x:c>
      <x:c r="R206" s="73" t="str">
        <x:f>INDEX(TrackMap!$B$8:$B$141,H206)</x:f>
        <x:v>发车大直道</x:v>
      </x:c>
    </x:row>
    <x:row r="207" ht="20" customHeight="1">
      <x:c r="A207" s="73" t="n">
        <x:v>33</x:v>
      </x:c>
      <x:c r="B207" s="73" t="n">
        <x:v>2</x:v>
      </x:c>
      <x:c r="C207" s="73" t="str">
        <x:f>INDEX(Drivers!$B$8:$B$13,B207)</x:f>
        <x:v>蓝电</x:v>
      </x:c>
      <x:c r="D207" s="83" t="n">
        <x:f>G201</x:f>
        <x:v>105.99870981918092</x:v>
      </x:c>
      <x:c r="E207" s="83" t="str">
        <x:f>IF(A207=0,"GRID",IF(D207&gt;=Control!$B$17,"FINISHED",IF(AND(A207&gt;=INDEX(Drivers!$G$8:$G$13,B207),A207&lt;INDEX(Drivers!$G$8:$G$13,B207)+INDEX(Drivers!$J$8:$J$13,B207)),"PIT",IF(MOD(A207+INDEX(Drivers!$F$8:$F$13,B207),Control!$B$11)&lt;Control!$B$13,"BOOST","RACE"))))</x:f>
        <x:v>RACE</x:v>
      </x:c>
      <x:c r="F207" s="83" t="n">
        <x:f>IF(OR(E207="GRID",E207="FINISHED",E207="PIT"),0,MAX(Control!$B$15,(INDEX(Drivers!$D$8:$D$13,B207)+INDEX(Drivers!$E$8:$E$13,B207)*SIN((A207+INDEX(Drivers!$F$8:$F$13,B207)+Control!$B$16)*Control!$B$14))*INDEX(TrackMap!$M$8:$M$141,MOD(INT(D207)-1,Control!$B$7)+1)*IF(E207="BOOST",Control!$B$12,1)))</x:f>
        <x:v>4.1227609423755815</x:v>
      </x:c>
      <x:c r="G207" s="83" t="n">
        <x:f>IF(A207=0,D207,MIN(Control!$B$17,D207+F207))</x:f>
        <x:v>110.1214707615565</x:v>
      </x:c>
      <x:c r="H207" s="73" t="n">
        <x:f>MOD(INT(G207)-1,Control!$B$7)+1</x:f>
        <x:v>110</x:v>
      </x:c>
      <x:c r="I207" s="73" t="n">
        <x:f>MIN(Control!$B$6,MAX(1,INT(MAX(0,G207)/Control!$B$7)+1))</x:f>
        <x:v>1</x:v>
      </x:c>
      <x:c r="J207" s="73" t="n">
        <x:f>INDEX(Drivers!$H$8:$H$13,B207)</x:f>
        <x:v>2</x:v>
      </x:c>
      <x:c r="K207" s="73" t="n">
        <x:f>IF(J207=1,INDEX(TrackMap!$I$8:$I$141,H207),INDEX(TrackMap!$L$8:$L$141,H207))</x:f>
        <x:v>3041</x:v>
      </x:c>
      <x:c r="L207" s="73" t="str">
        <x:f>INDEX(TrackMap!$F$8:$F$141,H207)</x:f>
        <x:v>←</x:v>
      </x:c>
      <x:c r="M207" s="87" t="n">
        <x:f>MAX(0,G207/Control!$B$17)</x:f>
        <x:v>0.16436040412172612</x:v>
      </x:c>
      <x:c r="N207" s="73" t="n">
        <x:f>IF(N201&gt;0,N201,IF(G207&gt;=Control!$B$17,A207,0))</x:f>
        <x:v>0</x:v>
      </x:c>
      <x:c r="O207" s="91" t="n">
        <x:f>IF(N207&gt;0,Control!$B$17+Control!$B$8+1-N207,G207)-B207/100000</x:f>
        <x:v>110.12145076155649</x:v>
      </x:c>
      <x:c r="P207" s="73" t="n">
        <x:f>COUNTIF($O$206:$O$211,"&gt;"&amp;O207)+1</x:f>
        <x:v>3</x:v>
      </x:c>
      <x:c r="Q207" s="83" t="n">
        <x:f>MAX($G$206:$G$211)-G207</x:f>
        <x:v>4.983884271393052</x:v>
      </x:c>
      <x:c r="R207" s="73" t="str">
        <x:f>INDEX(TrackMap!$B$8:$B$141,H207)</x:f>
        <x:v>发车大直道</x:v>
      </x:c>
    </x:row>
    <x:row r="208" ht="20" customHeight="1">
      <x:c r="A208" s="73" t="n">
        <x:v>33</x:v>
      </x:c>
      <x:c r="B208" s="73" t="n">
        <x:v>3</x:v>
      </x:c>
      <x:c r="C208" s="73" t="str">
        <x:f>INDEX(Drivers!$B$8:$B$13,B208)</x:f>
        <x:v>金翼</x:v>
      </x:c>
      <x:c r="D208" s="83" t="n">
        <x:f>G202</x:f>
        <x:v>106.72464172527175</x:v>
      </x:c>
      <x:c r="E208" s="83" t="str">
        <x:f>IF(A208=0,"GRID",IF(D208&gt;=Control!$B$17,"FINISHED",IF(AND(A208&gt;=INDEX(Drivers!$G$8:$G$13,B208),A208&lt;INDEX(Drivers!$G$8:$G$13,B208)+INDEX(Drivers!$J$8:$J$13,B208)),"PIT",IF(MOD(A208+INDEX(Drivers!$F$8:$F$13,B208),Control!$B$11)&lt;Control!$B$13,"BOOST","RACE"))))</x:f>
        <x:v>RACE</x:v>
      </x:c>
      <x:c r="F208" s="83" t="n">
        <x:f>IF(OR(E208="GRID",E208="FINISHED",E208="PIT"),0,MAX(Control!$B$15,(INDEX(Drivers!$D$8:$D$13,B208)+INDEX(Drivers!$E$8:$E$13,B208)*SIN((A208+INDEX(Drivers!$F$8:$F$13,B208)+Control!$B$16)*Control!$B$14))*INDEX(TrackMap!$M$8:$M$141,MOD(INT(D208)-1,Control!$B$7)+1)*IF(E208="BOOST",Control!$B$12,1)))</x:f>
        <x:v>3.4264685823379475</x:v>
      </x:c>
      <x:c r="G208" s="83" t="n">
        <x:f>IF(A208=0,D208,MIN(Control!$B$17,D208+F208))</x:f>
        <x:v>110.1511103076097</x:v>
      </x:c>
      <x:c r="H208" s="73" t="n">
        <x:f>MOD(INT(G208)-1,Control!$B$7)+1</x:f>
        <x:v>110</x:v>
      </x:c>
      <x:c r="I208" s="73" t="n">
        <x:f>MIN(Control!$B$6,MAX(1,INT(MAX(0,G208)/Control!$B$7)+1))</x:f>
        <x:v>1</x:v>
      </x:c>
      <x:c r="J208" s="73" t="n">
        <x:f>INDEX(Drivers!$H$8:$H$13,B208)</x:f>
        <x:v>1</x:v>
      </x:c>
      <x:c r="K208" s="73" t="n">
        <x:f>IF(J208=1,INDEX(TrackMap!$I$8:$I$141,H208),INDEX(TrackMap!$L$8:$L$141,H208))</x:f>
        <x:v>3141</x:v>
      </x:c>
      <x:c r="L208" s="73" t="str">
        <x:f>INDEX(TrackMap!$F$8:$F$141,H208)</x:f>
        <x:v>←</x:v>
      </x:c>
      <x:c r="M208" s="87" t="n">
        <x:f>MAX(0,G208/Control!$B$17)</x:f>
        <x:v>0.16440464225016374</x:v>
      </x:c>
      <x:c r="N208" s="73" t="n">
        <x:f>IF(N202&gt;0,N202,IF(G208&gt;=Control!$B$17,A208,0))</x:f>
        <x:v>0</x:v>
      </x:c>
      <x:c r="O208" s="91" t="n">
        <x:f>IF(N208&gt;0,Control!$B$17+Control!$B$8+1-N208,G208)-B208/100000</x:f>
        <x:v>110.1510803076097</x:v>
      </x:c>
      <x:c r="P208" s="73" t="n">
        <x:f>COUNTIF($O$206:$O$211,"&gt;"&amp;O208)+1</x:f>
        <x:v>2</x:v>
      </x:c>
      <x:c r="Q208" s="83" t="n">
        <x:f>MAX($G$206:$G$211)-G208</x:f>
        <x:v>4.954244725339848</x:v>
      </x:c>
      <x:c r="R208" s="73" t="str">
        <x:f>INDEX(TrackMap!$B$8:$B$141,H208)</x:f>
        <x:v>发车大直道</x:v>
      </x:c>
    </x:row>
    <x:row r="209" ht="20" customHeight="1">
      <x:c r="A209" s="73" t="n">
        <x:v>33</x:v>
      </x:c>
      <x:c r="B209" s="73" t="n">
        <x:v>4</x:v>
      </x:c>
      <x:c r="C209" s="73" t="str">
        <x:f>INDEX(Drivers!$B$8:$B$13,B209)</x:f>
        <x:v>紫影</x:v>
      </x:c>
      <x:c r="D209" s="83" t="n">
        <x:f>G203</x:f>
        <x:v>103.23012555069819</x:v>
      </x:c>
      <x:c r="E209" s="83" t="str">
        <x:f>IF(A209=0,"GRID",IF(D209&gt;=Control!$B$17,"FINISHED",IF(AND(A209&gt;=INDEX(Drivers!$G$8:$G$13,B209),A209&lt;INDEX(Drivers!$G$8:$G$13,B209)+INDEX(Drivers!$J$8:$J$13,B209)),"PIT",IF(MOD(A209+INDEX(Drivers!$F$8:$F$13,B209),Control!$B$11)&lt;Control!$B$13,"BOOST","RACE"))))</x:f>
        <x:v>RACE</x:v>
      </x:c>
      <x:c r="F209" s="83" t="n">
        <x:f>IF(OR(E209="GRID",E209="FINISHED",E209="PIT"),0,MAX(Control!$B$15,(INDEX(Drivers!$D$8:$D$13,B209)+INDEX(Drivers!$E$8:$E$13,B209)*SIN((A209+INDEX(Drivers!$F$8:$F$13,B209)+Control!$B$16)*Control!$B$14))*INDEX(TrackMap!$M$8:$M$141,MOD(INT(D209)-1,Control!$B$7)+1)*IF(E209="BOOST",Control!$B$12,1)))</x:f>
        <x:v>3.6158081294932702</x:v>
      </x:c>
      <x:c r="G209" s="83" t="n">
        <x:f>IF(A209=0,D209,MIN(Control!$B$17,D209+F209))</x:f>
        <x:v>106.84593368019146</x:v>
      </x:c>
      <x:c r="H209" s="73" t="n">
        <x:f>MOD(INT(G209)-1,Control!$B$7)+1</x:f>
        <x:v>106</x:v>
      </x:c>
      <x:c r="I209" s="73" t="n">
        <x:f>MIN(Control!$B$6,MAX(1,INT(MAX(0,G209)/Control!$B$7)+1))</x:f>
        <x:v>1</x:v>
      </x:c>
      <x:c r="J209" s="73" t="n">
        <x:f>INDEX(Drivers!$H$8:$H$13,B209)</x:f>
        <x:v>2</x:v>
      </x:c>
      <x:c r="K209" s="73" t="n">
        <x:f>IF(J209=1,INDEX(TrackMap!$I$8:$I$141,H209),INDEX(TrackMap!$L$8:$L$141,H209))</x:f>
        <x:v>3045</x:v>
      </x:c>
      <x:c r="L209" s="73" t="str">
        <x:f>INDEX(TrackMap!$F$8:$F$141,H209)</x:f>
        <x:v>←</x:v>
      </x:c>
      <x:c r="M209" s="87" t="n">
        <x:f>MAX(0,G209/Control!$B$17)</x:f>
        <x:v>0.15947154280625592</x:v>
      </x:c>
      <x:c r="N209" s="73" t="n">
        <x:f>IF(N203&gt;0,N203,IF(G209&gt;=Control!$B$17,A209,0))</x:f>
        <x:v>0</x:v>
      </x:c>
      <x:c r="O209" s="91" t="n">
        <x:f>IF(N209&gt;0,Control!$B$17+Control!$B$8+1-N209,G209)-B209/100000</x:f>
        <x:v>106.84589368019147</x:v>
      </x:c>
      <x:c r="P209" s="73" t="n">
        <x:f>COUNTIF($O$206:$O$211,"&gt;"&amp;O209)+1</x:f>
        <x:v>4</x:v>
      </x:c>
      <x:c r="Q209" s="83" t="n">
        <x:f>MAX($G$206:$G$211)-G209</x:f>
        <x:v>8.259421352758082</x:v>
      </x:c>
      <x:c r="R209" s="73" t="str">
        <x:f>INDEX(TrackMap!$B$8:$B$141,H209)</x:f>
        <x:v>发车大直道</x:v>
      </x:c>
    </x:row>
    <x:row r="210" ht="20" customHeight="1">
      <x:c r="A210" s="73" t="n">
        <x:v>33</x:v>
      </x:c>
      <x:c r="B210" s="73" t="n">
        <x:v>5</x:v>
      </x:c>
      <x:c r="C210" s="73" t="str">
        <x:f>INDEX(Drivers!$B$8:$B$13,B210)</x:f>
        <x:v>青锋</x:v>
      </x:c>
      <x:c r="D210" s="83" t="n">
        <x:f>G204</x:f>
        <x:v>102.73189696231204</x:v>
      </x:c>
      <x:c r="E210" s="83" t="str">
        <x:f>IF(A210=0,"GRID",IF(D210&gt;=Control!$B$17,"FINISHED",IF(AND(A210&gt;=INDEX(Drivers!$G$8:$G$13,B210),A210&lt;INDEX(Drivers!$G$8:$G$13,B210)+INDEX(Drivers!$J$8:$J$13,B210)),"PIT",IF(MOD(A210+INDEX(Drivers!$F$8:$F$13,B210),Control!$B$11)&lt;Control!$B$13,"BOOST","RACE"))))</x:f>
        <x:v>RACE</x:v>
      </x:c>
      <x:c r="F210" s="83" t="n">
        <x:f>IF(OR(E210="GRID",E210="FINISHED",E210="PIT"),0,MAX(Control!$B$15,(INDEX(Drivers!$D$8:$D$13,B210)+INDEX(Drivers!$E$8:$E$13,B210)*SIN((A210+INDEX(Drivers!$F$8:$F$13,B210)+Control!$B$16)*Control!$B$14))*INDEX(TrackMap!$M$8:$M$141,MOD(INT(D210)-1,Control!$B$7)+1)*IF(E210="BOOST",Control!$B$12,1)))</x:f>
        <x:v>2.8396915406065197</x:v>
      </x:c>
      <x:c r="G210" s="83" t="n">
        <x:f>IF(A210=0,D210,MIN(Control!$B$17,D210+F210))</x:f>
        <x:v>105.57158850291856</x:v>
      </x:c>
      <x:c r="H210" s="73" t="n">
        <x:f>MOD(INT(G210)-1,Control!$B$7)+1</x:f>
        <x:v>105</x:v>
      </x:c>
      <x:c r="I210" s="73" t="n">
        <x:f>MIN(Control!$B$6,MAX(1,INT(MAX(0,G210)/Control!$B$7)+1))</x:f>
        <x:v>1</x:v>
      </x:c>
      <x:c r="J210" s="73" t="n">
        <x:f>INDEX(Drivers!$H$8:$H$13,B210)</x:f>
        <x:v>1</x:v>
      </x:c>
      <x:c r="K210" s="73" t="n">
        <x:f>IF(J210=1,INDEX(TrackMap!$I$8:$I$141,H210),INDEX(TrackMap!$L$8:$L$141,H210))</x:f>
        <x:v>3146</x:v>
      </x:c>
      <x:c r="L210" s="73" t="str">
        <x:f>INDEX(TrackMap!$F$8:$F$141,H210)</x:f>
        <x:v>←</x:v>
      </x:c>
      <x:c r="M210" s="87" t="n">
        <x:f>MAX(0,G210/Control!$B$17)</x:f>
        <x:v>0.15756953507898291</x:v>
      </x:c>
      <x:c r="N210" s="73" t="n">
        <x:f>IF(N204&gt;0,N204,IF(G210&gt;=Control!$B$17,A210,0))</x:f>
        <x:v>0</x:v>
      </x:c>
      <x:c r="O210" s="91" t="n">
        <x:f>IF(N210&gt;0,Control!$B$17+Control!$B$8+1-N210,G210)-B210/100000</x:f>
        <x:v>105.57153850291856</x:v>
      </x:c>
      <x:c r="P210" s="73" t="n">
        <x:f>COUNTIF($O$206:$O$211,"&gt;"&amp;O210)+1</x:f>
        <x:v>5</x:v>
      </x:c>
      <x:c r="Q210" s="83" t="n">
        <x:f>MAX($G$206:$G$211)-G210</x:f>
        <x:v>9.533766530030988</x:v>
      </x:c>
      <x:c r="R210" s="73" t="str">
        <x:f>INDEX(TrackMap!$B$8:$B$141,H210)</x:f>
        <x:v>发车大直道</x:v>
      </x:c>
    </x:row>
    <x:row r="211" ht="20" customHeight="1">
      <x:c r="A211" s="73" t="n">
        <x:v>33</x:v>
      </x:c>
      <x:c r="B211" s="73" t="n">
        <x:v>6</x:v>
      </x:c>
      <x:c r="C211" s="73" t="str">
        <x:f>INDEX(Drivers!$B$8:$B$13,B211)</x:f>
        <x:v>玫速</x:v>
      </x:c>
      <x:c r="D211" s="83" t="n">
        <x:f>G205</x:f>
        <x:v>102.316414329414</x:v>
      </x:c>
      <x:c r="E211" s="83" t="str">
        <x:f>IF(A211=0,"GRID",IF(D211&gt;=Control!$B$17,"FINISHED",IF(AND(A211&gt;=INDEX(Drivers!$G$8:$G$13,B211),A211&lt;INDEX(Drivers!$G$8:$G$13,B211)+INDEX(Drivers!$J$8:$J$13,B211)),"PIT",IF(MOD(A211+INDEX(Drivers!$F$8:$F$13,B211),Control!$B$11)&lt;Control!$B$13,"BOOST","RACE"))))</x:f>
        <x:v>RACE</x:v>
      </x:c>
      <x:c r="F211" s="83" t="n">
        <x:f>IF(OR(E211="GRID",E211="FINISHED",E211="PIT"),0,MAX(Control!$B$15,(INDEX(Drivers!$D$8:$D$13,B211)+INDEX(Drivers!$E$8:$E$13,B211)*SIN((A211+INDEX(Drivers!$F$8:$F$13,B211)+Control!$B$16)*Control!$B$14))*INDEX(TrackMap!$M$8:$M$141,MOD(INT(D211)-1,Control!$B$7)+1)*IF(E211="BOOST",Control!$B$12,1)))</x:f>
        <x:v>3.107453234935697</x:v>
      </x:c>
      <x:c r="G211" s="83" t="n">
        <x:f>IF(A211=0,D211,MIN(Control!$B$17,D211+F211))</x:f>
        <x:v>105.4238675643497</x:v>
      </x:c>
      <x:c r="H211" s="73" t="n">
        <x:f>MOD(INT(G211)-1,Control!$B$7)+1</x:f>
        <x:v>105</x:v>
      </x:c>
      <x:c r="I211" s="73" t="n">
        <x:f>MIN(Control!$B$6,MAX(1,INT(MAX(0,G211)/Control!$B$7)+1))</x:f>
        <x:v>1</x:v>
      </x:c>
      <x:c r="J211" s="73" t="n">
        <x:f>INDEX(Drivers!$H$8:$H$13,B211)</x:f>
        <x:v>2</x:v>
      </x:c>
      <x:c r="K211" s="73" t="n">
        <x:f>IF(J211=1,INDEX(TrackMap!$I$8:$I$141,H211),INDEX(TrackMap!$L$8:$L$141,H211))</x:f>
        <x:v>3046</x:v>
      </x:c>
      <x:c r="L211" s="73" t="str">
        <x:f>INDEX(TrackMap!$F$8:$F$141,H211)</x:f>
        <x:v>←</x:v>
      </x:c>
      <x:c r="M211" s="87" t="n">
        <x:f>MAX(0,G211/Control!$B$17)</x:f>
        <x:v>0.1573490560661936</x:v>
      </x:c>
      <x:c r="N211" s="73" t="n">
        <x:f>IF(N205&gt;0,N205,IF(G211&gt;=Control!$B$17,A211,0))</x:f>
        <x:v>0</x:v>
      </x:c>
      <x:c r="O211" s="91" t="n">
        <x:f>IF(N211&gt;0,Control!$B$17+Control!$B$8+1-N211,G211)-B211/100000</x:f>
        <x:v>105.4238075643497</x:v>
      </x:c>
      <x:c r="P211" s="73" t="n">
        <x:f>COUNTIF($O$206:$O$211,"&gt;"&amp;O211)+1</x:f>
        <x:v>6</x:v>
      </x:c>
      <x:c r="Q211" s="83" t="n">
        <x:f>MAX($G$206:$G$211)-G211</x:f>
        <x:v>9.68148746859984</x:v>
      </x:c>
      <x:c r="R211" s="73" t="str">
        <x:f>INDEX(TrackMap!$B$8:$B$141,H211)</x:f>
        <x:v>发车大直道</x:v>
      </x:c>
    </x:row>
    <x:row r="212" ht="20" customHeight="1">
      <x:c r="A212" s="73" t="n">
        <x:v>34</x:v>
      </x:c>
      <x:c r="B212" s="73" t="n">
        <x:v>1</x:v>
      </x:c>
      <x:c r="C212" s="73" t="str">
        <x:f>INDEX(Drivers!$B$8:$B$13,B212)</x:f>
        <x:v>赤焰</x:v>
      </x:c>
      <x:c r="D212" s="83" t="n">
        <x:f>G206</x:f>
        <x:v>115.10535503294955</x:v>
      </x:c>
      <x:c r="E212" s="83" t="str">
        <x:f>IF(A212=0,"GRID",IF(D212&gt;=Control!$B$17,"FINISHED",IF(AND(A212&gt;=INDEX(Drivers!$G$8:$G$13,B212),A212&lt;INDEX(Drivers!$G$8:$G$13,B212)+INDEX(Drivers!$J$8:$J$13,B212)),"PIT",IF(MOD(A212+INDEX(Drivers!$F$8:$F$13,B212),Control!$B$11)&lt;Control!$B$13,"BOOST","RACE"))))</x:f>
        <x:v>RACE</x:v>
      </x:c>
      <x:c r="F212" s="83" t="n">
        <x:f>IF(OR(E212="GRID",E212="FINISHED",E212="PIT"),0,MAX(Control!$B$15,(INDEX(Drivers!$D$8:$D$13,B212)+INDEX(Drivers!$E$8:$E$13,B212)*SIN((A212+INDEX(Drivers!$F$8:$F$13,B212)+Control!$B$16)*Control!$B$14))*INDEX(TrackMap!$M$8:$M$141,MOD(INT(D212)-1,Control!$B$7)+1)*IF(E212="BOOST",Control!$B$12,1)))</x:f>
        <x:v>3.162468204016768</x:v>
      </x:c>
      <x:c r="G212" s="83" t="n">
        <x:f>IF(A212=0,D212,MIN(Control!$B$17,D212+F212))</x:f>
        <x:v>118.26782323696631</x:v>
      </x:c>
      <x:c r="H212" s="73" t="n">
        <x:f>MOD(INT(G212)-1,Control!$B$7)+1</x:f>
        <x:v>118</x:v>
      </x:c>
      <x:c r="I212" s="73" t="n">
        <x:f>MIN(Control!$B$6,MAX(1,INT(MAX(0,G212)/Control!$B$7)+1))</x:f>
        <x:v>1</x:v>
      </x:c>
      <x:c r="J212" s="73" t="n">
        <x:f>INDEX(Drivers!$H$8:$H$13,B212)</x:f>
        <x:v>1</x:v>
      </x:c>
      <x:c r="K212" s="73" t="n">
        <x:f>IF(J212=1,INDEX(TrackMap!$I$8:$I$141,H212),INDEX(TrackMap!$L$8:$L$141,H212))</x:f>
        <x:v>3133</x:v>
      </x:c>
      <x:c r="L212" s="73" t="str">
        <x:f>INDEX(TrackMap!$F$8:$F$141,H212)</x:f>
        <x:v>←</x:v>
      </x:c>
      <x:c r="M212" s="87" t="n">
        <x:f>MAX(0,G212/Control!$B$17)</x:f>
        <x:v>0.1765191391596512</x:v>
      </x:c>
      <x:c r="N212" s="73" t="n">
        <x:f>IF(N206&gt;0,N206,IF(G212&gt;=Control!$B$17,A212,0))</x:f>
        <x:v>0</x:v>
      </x:c>
      <x:c r="O212" s="91" t="n">
        <x:f>IF(N212&gt;0,Control!$B$17+Control!$B$8+1-N212,G212)-B212/100000</x:f>
        <x:v>118.2678132369663</x:v>
      </x:c>
      <x:c r="P212" s="73" t="n">
        <x:f>COUNTIF($O$212:$O$217,"&gt;"&amp;O212)+1</x:f>
        <x:v>1</x:v>
      </x:c>
      <x:c r="Q212" s="83" t="n">
        <x:f>MAX($G$212:$G$217)-G212</x:f>
        <x:v>0</x:v>
      </x:c>
      <x:c r="R212" s="73" t="str">
        <x:f>INDEX(TrackMap!$B$8:$B$141,H212)</x:f>
        <x:v>发车大直道</x:v>
      </x:c>
    </x:row>
    <x:row r="213" ht="20" customHeight="1">
      <x:c r="A213" s="73" t="n">
        <x:v>34</x:v>
      </x:c>
      <x:c r="B213" s="73" t="n">
        <x:v>2</x:v>
      </x:c>
      <x:c r="C213" s="73" t="str">
        <x:f>INDEX(Drivers!$B$8:$B$13,B213)</x:f>
        <x:v>蓝电</x:v>
      </x:c>
      <x:c r="D213" s="83" t="n">
        <x:f>G207</x:f>
        <x:v>110.1214707615565</x:v>
      </x:c>
      <x:c r="E213" s="83" t="str">
        <x:f>IF(A213=0,"GRID",IF(D213&gt;=Control!$B$17,"FINISHED",IF(AND(A213&gt;=INDEX(Drivers!$G$8:$G$13,B213),A213&lt;INDEX(Drivers!$G$8:$G$13,B213)+INDEX(Drivers!$J$8:$J$13,B213)),"PIT",IF(MOD(A213+INDEX(Drivers!$F$8:$F$13,B213),Control!$B$11)&lt;Control!$B$13,"BOOST","RACE"))))</x:f>
        <x:v>RACE</x:v>
      </x:c>
      <x:c r="F213" s="83" t="n">
        <x:f>IF(OR(E213="GRID",E213="FINISHED",E213="PIT"),0,MAX(Control!$B$15,(INDEX(Drivers!$D$8:$D$13,B213)+INDEX(Drivers!$E$8:$E$13,B213)*SIN((A213+INDEX(Drivers!$F$8:$F$13,B213)+Control!$B$16)*Control!$B$14))*INDEX(TrackMap!$M$8:$M$141,MOD(INT(D213)-1,Control!$B$7)+1)*IF(E213="BOOST",Control!$B$12,1)))</x:f>
        <x:v>4.178515780668913</x:v>
      </x:c>
      <x:c r="G213" s="83" t="n">
        <x:f>IF(A213=0,D213,MIN(Control!$B$17,D213+F213))</x:f>
        <x:v>114.29998654222541</x:v>
      </x:c>
      <x:c r="H213" s="73" t="n">
        <x:f>MOD(INT(G213)-1,Control!$B$7)+1</x:f>
        <x:v>114</x:v>
      </x:c>
      <x:c r="I213" s="73" t="n">
        <x:f>MIN(Control!$B$6,MAX(1,INT(MAX(0,G213)/Control!$B$7)+1))</x:f>
        <x:v>1</x:v>
      </x:c>
      <x:c r="J213" s="73" t="n">
        <x:f>INDEX(Drivers!$H$8:$H$13,B213)</x:f>
        <x:v>2</x:v>
      </x:c>
      <x:c r="K213" s="73" t="n">
        <x:f>IF(J213=1,INDEX(TrackMap!$I$8:$I$141,H213),INDEX(TrackMap!$L$8:$L$141,H213))</x:f>
        <x:v>3037</x:v>
      </x:c>
      <x:c r="L213" s="73" t="str">
        <x:f>INDEX(TrackMap!$F$8:$F$141,H213)</x:f>
        <x:v>←</x:v>
      </x:c>
      <x:c r="M213" s="87" t="n">
        <x:f>MAX(0,G213/Control!$B$17)</x:f>
        <x:v>0.1705969948391424</x:v>
      </x:c>
      <x:c r="N213" s="73" t="n">
        <x:f>IF(N207&gt;0,N207,IF(G213&gt;=Control!$B$17,A213,0))</x:f>
        <x:v>0</x:v>
      </x:c>
      <x:c r="O213" s="91" t="n">
        <x:f>IF(N213&gt;0,Control!$B$17+Control!$B$8+1-N213,G213)-B213/100000</x:f>
        <x:v>114.2999665422254</x:v>
      </x:c>
      <x:c r="P213" s="73" t="n">
        <x:f>COUNTIF($O$212:$O$217,"&gt;"&amp;O213)+1</x:f>
        <x:v>2</x:v>
      </x:c>
      <x:c r="Q213" s="83" t="n">
        <x:f>MAX($G$212:$G$217)-G213</x:f>
        <x:v>3.967836694740896</x:v>
      </x:c>
      <x:c r="R213" s="73" t="str">
        <x:f>INDEX(TrackMap!$B$8:$B$141,H213)</x:f>
        <x:v>发车大直道</x:v>
      </x:c>
    </x:row>
    <x:row r="214" ht="20" customHeight="1">
      <x:c r="A214" s="73" t="n">
        <x:v>34</x:v>
      </x:c>
      <x:c r="B214" s="73" t="n">
        <x:v>3</x:v>
      </x:c>
      <x:c r="C214" s="73" t="str">
        <x:f>INDEX(Drivers!$B$8:$B$13,B214)</x:f>
        <x:v>金翼</x:v>
      </x:c>
      <x:c r="D214" s="83" t="n">
        <x:f>G208</x:f>
        <x:v>110.1511103076097</x:v>
      </x:c>
      <x:c r="E214" s="83" t="str">
        <x:f>IF(A214=0,"GRID",IF(D214&gt;=Control!$B$17,"FINISHED",IF(AND(A214&gt;=INDEX(Drivers!$G$8:$G$13,B214),A214&lt;INDEX(Drivers!$G$8:$G$13,B214)+INDEX(Drivers!$J$8:$J$13,B214)),"PIT",IF(MOD(A214+INDEX(Drivers!$F$8:$F$13,B214),Control!$B$11)&lt;Control!$B$13,"BOOST","RACE"))))</x:f>
        <x:v>RACE</x:v>
      </x:c>
      <x:c r="F214" s="83" t="n">
        <x:f>IF(OR(E214="GRID",E214="FINISHED",E214="PIT"),0,MAX(Control!$B$15,(INDEX(Drivers!$D$8:$D$13,B214)+INDEX(Drivers!$E$8:$E$13,B214)*SIN((A214+INDEX(Drivers!$F$8:$F$13,B214)+Control!$B$16)*Control!$B$14))*INDEX(TrackMap!$M$8:$M$141,MOD(INT(D214)-1,Control!$B$7)+1)*IF(E214="BOOST",Control!$B$12,1)))</x:f>
        <x:v>3.2936265691659457</x:v>
      </x:c>
      <x:c r="G214" s="83" t="n">
        <x:f>IF(A214=0,D214,MIN(Control!$B$17,D214+F214))</x:f>
        <x:v>113.44473687677565</x:v>
      </x:c>
      <x:c r="H214" s="73" t="n">
        <x:f>MOD(INT(G214)-1,Control!$B$7)+1</x:f>
        <x:v>113</x:v>
      </x:c>
      <x:c r="I214" s="73" t="n">
        <x:f>MIN(Control!$B$6,MAX(1,INT(MAX(0,G214)/Control!$B$7)+1))</x:f>
        <x:v>1</x:v>
      </x:c>
      <x:c r="J214" s="73" t="n">
        <x:f>INDEX(Drivers!$H$8:$H$13,B214)</x:f>
        <x:v>1</x:v>
      </x:c>
      <x:c r="K214" s="73" t="n">
        <x:f>IF(J214=1,INDEX(TrackMap!$I$8:$I$141,H214),INDEX(TrackMap!$L$8:$L$141,H214))</x:f>
        <x:v>3138</x:v>
      </x:c>
      <x:c r="L214" s="73" t="str">
        <x:f>INDEX(TrackMap!$F$8:$F$141,H214)</x:f>
        <x:v>←</x:v>
      </x:c>
      <x:c r="M214" s="87" t="n">
        <x:f>MAX(0,G214/Control!$B$17)</x:f>
        <x:v>0.16932050280115768</x:v>
      </x:c>
      <x:c r="N214" s="73" t="n">
        <x:f>IF(N208&gt;0,N208,IF(G214&gt;=Control!$B$17,A214,0))</x:f>
        <x:v>0</x:v>
      </x:c>
      <x:c r="O214" s="91" t="n">
        <x:f>IF(N214&gt;0,Control!$B$17+Control!$B$8+1-N214,G214)-B214/100000</x:f>
        <x:v>113.44470687677565</x:v>
      </x:c>
      <x:c r="P214" s="73" t="n">
        <x:f>COUNTIF($O$212:$O$217,"&gt;"&amp;O214)+1</x:f>
        <x:v>3</x:v>
      </x:c>
      <x:c r="Q214" s="83" t="n">
        <x:f>MAX($G$212:$G$217)-G214</x:f>
        <x:v>4.823086360190658</x:v>
      </x:c>
      <x:c r="R214" s="73" t="str">
        <x:f>INDEX(TrackMap!$B$8:$B$141,H214)</x:f>
        <x:v>发车大直道</x:v>
      </x:c>
    </x:row>
    <x:row r="215" ht="20" customHeight="1">
      <x:c r="A215" s="73" t="n">
        <x:v>34</x:v>
      </x:c>
      <x:c r="B215" s="73" t="n">
        <x:v>4</x:v>
      </x:c>
      <x:c r="C215" s="73" t="str">
        <x:f>INDEX(Drivers!$B$8:$B$13,B215)</x:f>
        <x:v>紫影</x:v>
      </x:c>
      <x:c r="D215" s="83" t="n">
        <x:f>G209</x:f>
        <x:v>106.84593368019146</x:v>
      </x:c>
      <x:c r="E215" s="83" t="str">
        <x:f>IF(A215=0,"GRID",IF(D215&gt;=Control!$B$17,"FINISHED",IF(AND(A215&gt;=INDEX(Drivers!$G$8:$G$13,B215),A215&lt;INDEX(Drivers!$G$8:$G$13,B215)+INDEX(Drivers!$J$8:$J$13,B215)),"PIT",IF(MOD(A215+INDEX(Drivers!$F$8:$F$13,B215),Control!$B$11)&lt;Control!$B$13,"BOOST","RACE"))))</x:f>
        <x:v>RACE</x:v>
      </x:c>
      <x:c r="F215" s="83" t="n">
        <x:f>IF(OR(E215="GRID",E215="FINISHED",E215="PIT"),0,MAX(Control!$B$15,(INDEX(Drivers!$D$8:$D$13,B215)+INDEX(Drivers!$E$8:$E$13,B215)*SIN((A215+INDEX(Drivers!$F$8:$F$13,B215)+Control!$B$16)*Control!$B$14))*INDEX(TrackMap!$M$8:$M$141,MOD(INT(D215)-1,Control!$B$7)+1)*IF(E215="BOOST",Control!$B$12,1)))</x:f>
        <x:v>3.8243973852379</x:v>
      </x:c>
      <x:c r="G215" s="83" t="n">
        <x:f>IF(A215=0,D215,MIN(Control!$B$17,D215+F215))</x:f>
        <x:v>110.67033106542937</x:v>
      </x:c>
      <x:c r="H215" s="73" t="n">
        <x:f>MOD(INT(G215)-1,Control!$B$7)+1</x:f>
        <x:v>110</x:v>
      </x:c>
      <x:c r="I215" s="73" t="n">
        <x:f>MIN(Control!$B$6,MAX(1,INT(MAX(0,G215)/Control!$B$7)+1))</x:f>
        <x:v>1</x:v>
      </x:c>
      <x:c r="J215" s="73" t="n">
        <x:f>INDEX(Drivers!$H$8:$H$13,B215)</x:f>
        <x:v>2</x:v>
      </x:c>
      <x:c r="K215" s="73" t="n">
        <x:f>IF(J215=1,INDEX(TrackMap!$I$8:$I$141,H215),INDEX(TrackMap!$L$8:$L$141,H215))</x:f>
        <x:v>3041</x:v>
      </x:c>
      <x:c r="L215" s="73" t="str">
        <x:f>INDEX(TrackMap!$F$8:$F$141,H215)</x:f>
        <x:v>←</x:v>
      </x:c>
      <x:c r="M215" s="87" t="n">
        <x:f>MAX(0,G215/Control!$B$17)</x:f>
        <x:v>0.16517959860511847</x:v>
      </x:c>
      <x:c r="N215" s="73" t="n">
        <x:f>IF(N209&gt;0,N209,IF(G215&gt;=Control!$B$17,A215,0))</x:f>
        <x:v>0</x:v>
      </x:c>
      <x:c r="O215" s="91" t="n">
        <x:f>IF(N215&gt;0,Control!$B$17+Control!$B$8+1-N215,G215)-B215/100000</x:f>
        <x:v>110.67029106542937</x:v>
      </x:c>
      <x:c r="P215" s="73" t="n">
        <x:f>COUNTIF($O$212:$O$217,"&gt;"&amp;O215)+1</x:f>
        <x:v>4</x:v>
      </x:c>
      <x:c r="Q215" s="83" t="n">
        <x:f>MAX($G$212:$G$217)-G215</x:f>
        <x:v>7.597492171536942</x:v>
      </x:c>
      <x:c r="R215" s="73" t="str">
        <x:f>INDEX(TrackMap!$B$8:$B$141,H215)</x:f>
        <x:v>发车大直道</x:v>
      </x:c>
    </x:row>
    <x:row r="216" ht="20" customHeight="1">
      <x:c r="A216" s="73" t="n">
        <x:v>34</x:v>
      </x:c>
      <x:c r="B216" s="73" t="n">
        <x:v>5</x:v>
      </x:c>
      <x:c r="C216" s="73" t="str">
        <x:f>INDEX(Drivers!$B$8:$B$13,B216)</x:f>
        <x:v>青锋</x:v>
      </x:c>
      <x:c r="D216" s="83" t="n">
        <x:f>G210</x:f>
        <x:v>105.57158850291856</x:v>
      </x:c>
      <x:c r="E216" s="83" t="str">
        <x:f>IF(A216=0,"GRID",IF(D216&gt;=Control!$B$17,"FINISHED",IF(AND(A216&gt;=INDEX(Drivers!$G$8:$G$13,B216),A216&lt;INDEX(Drivers!$G$8:$G$13,B216)+INDEX(Drivers!$J$8:$J$13,B216)),"PIT",IF(MOD(A216+INDEX(Drivers!$F$8:$F$13,B216),Control!$B$11)&lt;Control!$B$13,"BOOST","RACE"))))</x:f>
        <x:v>RACE</x:v>
      </x:c>
      <x:c r="F216" s="83" t="n">
        <x:f>IF(OR(E216="GRID",E216="FINISHED",E216="PIT"),0,MAX(Control!$B$15,(INDEX(Drivers!$D$8:$D$13,B216)+INDEX(Drivers!$E$8:$E$13,B216)*SIN((A216+INDEX(Drivers!$F$8:$F$13,B216)+Control!$B$16)*Control!$B$14))*INDEX(TrackMap!$M$8:$M$141,MOD(INT(D216)-1,Control!$B$7)+1)*IF(E216="BOOST",Control!$B$12,1)))</x:f>
        <x:v>3.827911537103328</x:v>
      </x:c>
      <x:c r="G216" s="83" t="n">
        <x:f>IF(A216=0,D216,MIN(Control!$B$17,D216+F216))</x:f>
        <x:v>109.39950004002189</x:v>
      </x:c>
      <x:c r="H216" s="73" t="n">
        <x:f>MOD(INT(G216)-1,Control!$B$7)+1</x:f>
        <x:v>109</x:v>
      </x:c>
      <x:c r="I216" s="73" t="n">
        <x:f>MIN(Control!$B$6,MAX(1,INT(MAX(0,G216)/Control!$B$7)+1))</x:f>
        <x:v>1</x:v>
      </x:c>
      <x:c r="J216" s="73" t="n">
        <x:f>INDEX(Drivers!$H$8:$H$13,B216)</x:f>
        <x:v>1</x:v>
      </x:c>
      <x:c r="K216" s="73" t="n">
        <x:f>IF(J216=1,INDEX(TrackMap!$I$8:$I$141,H216),INDEX(TrackMap!$L$8:$L$141,H216))</x:f>
        <x:v>3142</x:v>
      </x:c>
      <x:c r="L216" s="73" t="str">
        <x:f>INDEX(TrackMap!$F$8:$F$141,H216)</x:f>
        <x:v>←</x:v>
      </x:c>
      <x:c r="M216" s="87" t="n">
        <x:f>MAX(0,G216/Control!$B$17)</x:f>
        <x:v>0.1632828358806297</x:v>
      </x:c>
      <x:c r="N216" s="73" t="n">
        <x:f>IF(N210&gt;0,N210,IF(G216&gt;=Control!$B$17,A216,0))</x:f>
        <x:v>0</x:v>
      </x:c>
      <x:c r="O216" s="91" t="n">
        <x:f>IF(N216&gt;0,Control!$B$17+Control!$B$8+1-N216,G216)-B216/100000</x:f>
        <x:v>109.39945004002189</x:v>
      </x:c>
      <x:c r="P216" s="73" t="n">
        <x:f>COUNTIF($O$212:$O$217,"&gt;"&amp;O216)+1</x:f>
        <x:v>5</x:v>
      </x:c>
      <x:c r="Q216" s="83" t="n">
        <x:f>MAX($G$212:$G$217)-G216</x:f>
        <x:v>8.868323196944417</x:v>
      </x:c>
      <x:c r="R216" s="73" t="str">
        <x:f>INDEX(TrackMap!$B$8:$B$141,H216)</x:f>
        <x:v>发车大直道</x:v>
      </x:c>
    </x:row>
    <x:row r="217" ht="20" customHeight="1">
      <x:c r="A217" s="73" t="n">
        <x:v>34</x:v>
      </x:c>
      <x:c r="B217" s="73" t="n">
        <x:v>6</x:v>
      </x:c>
      <x:c r="C217" s="73" t="str">
        <x:f>INDEX(Drivers!$B$8:$B$13,B217)</x:f>
        <x:v>玫速</x:v>
      </x:c>
      <x:c r="D217" s="83" t="n">
        <x:f>G211</x:f>
        <x:v>105.4238675643497</x:v>
      </x:c>
      <x:c r="E217" s="83" t="str">
        <x:f>IF(A217=0,"GRID",IF(D217&gt;=Control!$B$17,"FINISHED",IF(AND(A217&gt;=INDEX(Drivers!$G$8:$G$13,B217),A217&lt;INDEX(Drivers!$G$8:$G$13,B217)+INDEX(Drivers!$J$8:$J$13,B217)),"PIT",IF(MOD(A217+INDEX(Drivers!$F$8:$F$13,B217),Control!$B$11)&lt;Control!$B$13,"BOOST","RACE"))))</x:f>
        <x:v>RACE</x:v>
      </x:c>
      <x:c r="F217" s="83" t="n">
        <x:f>IF(OR(E217="GRID",E217="FINISHED",E217="PIT"),0,MAX(Control!$B$15,(INDEX(Drivers!$D$8:$D$13,B217)+INDEX(Drivers!$E$8:$E$13,B217)*SIN((A217+INDEX(Drivers!$F$8:$F$13,B217)+Control!$B$16)*Control!$B$14))*INDEX(TrackMap!$M$8:$M$141,MOD(INT(D217)-1,Control!$B$7)+1)*IF(E217="BOOST",Control!$B$12,1)))</x:f>
        <x:v>3.7762712035883563</x:v>
      </x:c>
      <x:c r="G217" s="83" t="n">
        <x:f>IF(A217=0,D217,MIN(Control!$B$17,D217+F217))</x:f>
        <x:v>109.20013876793806</x:v>
      </x:c>
      <x:c r="H217" s="73" t="n">
        <x:f>MOD(INT(G217)-1,Control!$B$7)+1</x:f>
        <x:v>109</x:v>
      </x:c>
      <x:c r="I217" s="73" t="n">
        <x:f>MIN(Control!$B$6,MAX(1,INT(MAX(0,G217)/Control!$B$7)+1))</x:f>
        <x:v>1</x:v>
      </x:c>
      <x:c r="J217" s="73" t="n">
        <x:f>INDEX(Drivers!$H$8:$H$13,B217)</x:f>
        <x:v>2</x:v>
      </x:c>
      <x:c r="K217" s="73" t="n">
        <x:f>IF(J217=1,INDEX(TrackMap!$I$8:$I$141,H217),INDEX(TrackMap!$L$8:$L$141,H217))</x:f>
        <x:v>3042</x:v>
      </x:c>
      <x:c r="L217" s="73" t="str">
        <x:f>INDEX(TrackMap!$F$8:$F$141,H217)</x:f>
        <x:v>←</x:v>
      </x:c>
      <x:c r="M217" s="87" t="n">
        <x:f>MAX(0,G217/Control!$B$17)</x:f>
        <x:v>0.16298528174319113</x:v>
      </x:c>
      <x:c r="N217" s="73" t="n">
        <x:f>IF(N211&gt;0,N211,IF(G217&gt;=Control!$B$17,A217,0))</x:f>
        <x:v>0</x:v>
      </x:c>
      <x:c r="O217" s="91" t="n">
        <x:f>IF(N217&gt;0,Control!$B$17+Control!$B$8+1-N217,G217)-B217/100000</x:f>
        <x:v>109.20007876793805</x:v>
      </x:c>
      <x:c r="P217" s="73" t="n">
        <x:f>COUNTIF($O$212:$O$217,"&gt;"&amp;O217)+1</x:f>
        <x:v>6</x:v>
      </x:c>
      <x:c r="Q217" s="83" t="n">
        <x:f>MAX($G$212:$G$217)-G217</x:f>
        <x:v>9.06768446902825</x:v>
      </x:c>
      <x:c r="R217" s="73" t="str">
        <x:f>INDEX(TrackMap!$B$8:$B$141,H217)</x:f>
        <x:v>发车大直道</x:v>
      </x:c>
    </x:row>
    <x:row r="218" ht="20" customHeight="1">
      <x:c r="A218" s="73" t="n">
        <x:v>35</x:v>
      </x:c>
      <x:c r="B218" s="73" t="n">
        <x:v>1</x:v>
      </x:c>
      <x:c r="C218" s="73" t="str">
        <x:f>INDEX(Drivers!$B$8:$B$13,B218)</x:f>
        <x:v>赤焰</x:v>
      </x:c>
      <x:c r="D218" s="83" t="n">
        <x:f>G212</x:f>
        <x:v>118.26782323696631</x:v>
      </x:c>
      <x:c r="E218" s="83" t="str">
        <x:f>IF(A218=0,"GRID",IF(D218&gt;=Control!$B$17,"FINISHED",IF(AND(A218&gt;=INDEX(Drivers!$G$8:$G$13,B218),A218&lt;INDEX(Drivers!$G$8:$G$13,B218)+INDEX(Drivers!$J$8:$J$13,B218)),"PIT",IF(MOD(A218+INDEX(Drivers!$F$8:$F$13,B218),Control!$B$11)&lt;Control!$B$13,"BOOST","RACE"))))</x:f>
        <x:v>RACE</x:v>
      </x:c>
      <x:c r="F218" s="83" t="n">
        <x:f>IF(OR(E218="GRID",E218="FINISHED",E218="PIT"),0,MAX(Control!$B$15,(INDEX(Drivers!$D$8:$D$13,B218)+INDEX(Drivers!$E$8:$E$13,B218)*SIN((A218+INDEX(Drivers!$F$8:$F$13,B218)+Control!$B$16)*Control!$B$14))*INDEX(TrackMap!$M$8:$M$141,MOD(INT(D218)-1,Control!$B$7)+1)*IF(E218="BOOST",Control!$B$12,1)))</x:f>
        <x:v>3.2875220895713557</x:v>
      </x:c>
      <x:c r="G218" s="83" t="n">
        <x:f>IF(A218=0,D218,MIN(Control!$B$17,D218+F218))</x:f>
        <x:v>121.55534532653766</x:v>
      </x:c>
      <x:c r="H218" s="73" t="n">
        <x:f>MOD(INT(G218)-1,Control!$B$7)+1</x:f>
        <x:v>121</x:v>
      </x:c>
      <x:c r="I218" s="73" t="n">
        <x:f>MIN(Control!$B$6,MAX(1,INT(MAX(0,G218)/Control!$B$7)+1))</x:f>
        <x:v>1</x:v>
      </x:c>
      <x:c r="J218" s="73" t="n">
        <x:f>INDEX(Drivers!$H$8:$H$13,B218)</x:f>
        <x:v>1</x:v>
      </x:c>
      <x:c r="K218" s="73" t="n">
        <x:f>IF(J218=1,INDEX(TrackMap!$I$8:$I$141,H218),INDEX(TrackMap!$L$8:$L$141,H218))</x:f>
        <x:v>3130</x:v>
      </x:c>
      <x:c r="L218" s="73" t="str">
        <x:f>INDEX(TrackMap!$F$8:$F$141,H218)</x:f>
        <x:v>←</x:v>
      </x:c>
      <x:c r="M218" s="87" t="n">
        <x:f>MAX(0,G218/Control!$B$17)</x:f>
        <x:v>0.18142588854707115</x:v>
      </x:c>
      <x:c r="N218" s="73" t="n">
        <x:f>IF(N212&gt;0,N212,IF(G218&gt;=Control!$B$17,A218,0))</x:f>
        <x:v>0</x:v>
      </x:c>
      <x:c r="O218" s="91" t="n">
        <x:f>IF(N218&gt;0,Control!$B$17+Control!$B$8+1-N218,G218)-B218/100000</x:f>
        <x:v>121.55533532653766</x:v>
      </x:c>
      <x:c r="P218" s="73" t="n">
        <x:f>COUNTIF($O$218:$O$223,"&gt;"&amp;O218)+1</x:f>
        <x:v>1</x:v>
      </x:c>
      <x:c r="Q218" s="83" t="n">
        <x:f>MAX($G$218:$G$223)-G218</x:f>
        <x:v>0</x:v>
      </x:c>
      <x:c r="R218" s="73" t="str">
        <x:f>INDEX(TrackMap!$B$8:$B$141,H218)</x:f>
        <x:v>发车大直道</x:v>
      </x:c>
    </x:row>
    <x:row r="219" ht="20" customHeight="1">
      <x:c r="A219" s="73" t="n">
        <x:v>35</x:v>
      </x:c>
      <x:c r="B219" s="73" t="n">
        <x:v>2</x:v>
      </x:c>
      <x:c r="C219" s="73" t="str">
        <x:f>INDEX(Drivers!$B$8:$B$13,B219)</x:f>
        <x:v>蓝电</x:v>
      </x:c>
      <x:c r="D219" s="83" t="n">
        <x:f>G213</x:f>
        <x:v>114.29998654222541</x:v>
      </x:c>
      <x:c r="E219" s="83" t="str">
        <x:f>IF(A219=0,"GRID",IF(D219&gt;=Control!$B$17,"FINISHED",IF(AND(A219&gt;=INDEX(Drivers!$G$8:$G$13,B219),A219&lt;INDEX(Drivers!$G$8:$G$13,B219)+INDEX(Drivers!$J$8:$J$13,B219)),"PIT",IF(MOD(A219+INDEX(Drivers!$F$8:$F$13,B219),Control!$B$11)&lt;Control!$B$13,"BOOST","RACE"))))</x:f>
        <x:v>RACE</x:v>
      </x:c>
      <x:c r="F219" s="83" t="n">
        <x:f>IF(OR(E219="GRID",E219="FINISHED",E219="PIT"),0,MAX(Control!$B$15,(INDEX(Drivers!$D$8:$D$13,B219)+INDEX(Drivers!$E$8:$E$13,B219)*SIN((A219+INDEX(Drivers!$F$8:$F$13,B219)+Control!$B$16)*Control!$B$14))*INDEX(TrackMap!$M$8:$M$141,MOD(INT(D219)-1,Control!$B$7)+1)*IF(E219="BOOST",Control!$B$12,1)))</x:f>
        <x:v>4.153264315813161</x:v>
      </x:c>
      <x:c r="G219" s="83" t="n">
        <x:f>IF(A219=0,D219,MIN(Control!$B$17,D219+F219))</x:f>
        <x:v>118.45325085803857</x:v>
      </x:c>
      <x:c r="H219" s="73" t="n">
        <x:f>MOD(INT(G219)-1,Control!$B$7)+1</x:f>
        <x:v>118</x:v>
      </x:c>
      <x:c r="I219" s="73" t="n">
        <x:f>MIN(Control!$B$6,MAX(1,INT(MAX(0,G219)/Control!$B$7)+1))</x:f>
        <x:v>1</x:v>
      </x:c>
      <x:c r="J219" s="73" t="n">
        <x:f>INDEX(Drivers!$H$8:$H$13,B219)</x:f>
        <x:v>2</x:v>
      </x:c>
      <x:c r="K219" s="73" t="n">
        <x:f>IF(J219=1,INDEX(TrackMap!$I$8:$I$141,H219),INDEX(TrackMap!$L$8:$L$141,H219))</x:f>
        <x:v>3033</x:v>
      </x:c>
      <x:c r="L219" s="73" t="str">
        <x:f>INDEX(TrackMap!$F$8:$F$141,H219)</x:f>
        <x:v>←</x:v>
      </x:c>
      <x:c r="M219" s="87" t="n">
        <x:f>MAX(0,G219/Control!$B$17)</x:f>
        <x:v>0.17679589680304264</x:v>
      </x:c>
      <x:c r="N219" s="73" t="n">
        <x:f>IF(N213&gt;0,N213,IF(G219&gt;=Control!$B$17,A219,0))</x:f>
        <x:v>0</x:v>
      </x:c>
      <x:c r="O219" s="91" t="n">
        <x:f>IF(N219&gt;0,Control!$B$17+Control!$B$8+1-N219,G219)-B219/100000</x:f>
        <x:v>118.45323085803857</x:v>
      </x:c>
      <x:c r="P219" s="73" t="n">
        <x:f>COUNTIF($O$218:$O$223,"&gt;"&amp;O219)+1</x:f>
        <x:v>2</x:v>
      </x:c>
      <x:c r="Q219" s="83" t="n">
        <x:f>MAX($G$218:$G$223)-G219</x:f>
        <x:v>3.1020944684990894</x:v>
      </x:c>
      <x:c r="R219" s="73" t="str">
        <x:f>INDEX(TrackMap!$B$8:$B$141,H219)</x:f>
        <x:v>发车大直道</x:v>
      </x:c>
    </x:row>
    <x:row r="220" ht="20" customHeight="1">
      <x:c r="A220" s="73" t="n">
        <x:v>35</x:v>
      </x:c>
      <x:c r="B220" s="73" t="n">
        <x:v>3</x:v>
      </x:c>
      <x:c r="C220" s="73" t="str">
        <x:f>INDEX(Drivers!$B$8:$B$13,B220)</x:f>
        <x:v>金翼</x:v>
      </x:c>
      <x:c r="D220" s="83" t="n">
        <x:f>G214</x:f>
        <x:v>113.44473687677565</x:v>
      </x:c>
      <x:c r="E220" s="83" t="str">
        <x:f>IF(A220=0,"GRID",IF(D220&gt;=Control!$B$17,"FINISHED",IF(AND(A220&gt;=INDEX(Drivers!$G$8:$G$13,B220),A220&lt;INDEX(Drivers!$G$8:$G$13,B220)+INDEX(Drivers!$J$8:$J$13,B220)),"PIT",IF(MOD(A220+INDEX(Drivers!$F$8:$F$13,B220),Control!$B$11)&lt;Control!$B$13,"BOOST","RACE"))))</x:f>
        <x:v>RACE</x:v>
      </x:c>
      <x:c r="F220" s="83" t="n">
        <x:f>IF(OR(E220="GRID",E220="FINISHED",E220="PIT"),0,MAX(Control!$B$15,(INDEX(Drivers!$D$8:$D$13,B220)+INDEX(Drivers!$E$8:$E$13,B220)*SIN((A220+INDEX(Drivers!$F$8:$F$13,B220)+Control!$B$16)*Control!$B$14))*INDEX(TrackMap!$M$8:$M$141,MOD(INT(D220)-1,Control!$B$7)+1)*IF(E220="BOOST",Control!$B$12,1)))</x:f>
        <x:v>3.215785293473391</x:v>
      </x:c>
      <x:c r="G220" s="83" t="n">
        <x:f>IF(A220=0,D220,MIN(Control!$B$17,D220+F220))</x:f>
        <x:v>116.66052217024904</x:v>
      </x:c>
      <x:c r="H220" s="73" t="n">
        <x:f>MOD(INT(G220)-1,Control!$B$7)+1</x:f>
        <x:v>116</x:v>
      </x:c>
      <x:c r="I220" s="73" t="n">
        <x:f>MIN(Control!$B$6,MAX(1,INT(MAX(0,G220)/Control!$B$7)+1))</x:f>
        <x:v>1</x:v>
      </x:c>
      <x:c r="J220" s="73" t="n">
        <x:f>INDEX(Drivers!$H$8:$H$13,B220)</x:f>
        <x:v>1</x:v>
      </x:c>
      <x:c r="K220" s="73" t="n">
        <x:f>IF(J220=1,INDEX(TrackMap!$I$8:$I$141,H220),INDEX(TrackMap!$L$8:$L$141,H220))</x:f>
        <x:v>3135</x:v>
      </x:c>
      <x:c r="L220" s="73" t="str">
        <x:f>INDEX(TrackMap!$F$8:$F$141,H220)</x:f>
        <x:v>←</x:v>
      </x:c>
      <x:c r="M220" s="87" t="n">
        <x:f>MAX(0,G220/Control!$B$17)</x:f>
        <x:v>0.17412018234365528</x:v>
      </x:c>
      <x:c r="N220" s="73" t="n">
        <x:f>IF(N214&gt;0,N214,IF(G220&gt;=Control!$B$17,A220,0))</x:f>
        <x:v>0</x:v>
      </x:c>
      <x:c r="O220" s="91" t="n">
        <x:f>IF(N220&gt;0,Control!$B$17+Control!$B$8+1-N220,G220)-B220/100000</x:f>
        <x:v>116.66049217024904</x:v>
      </x:c>
      <x:c r="P220" s="73" t="n">
        <x:f>COUNTIF($O$218:$O$223,"&gt;"&amp;O220)+1</x:f>
        <x:v>3</x:v>
      </x:c>
      <x:c r="Q220" s="83" t="n">
        <x:f>MAX($G$218:$G$223)-G220</x:f>
        <x:v>4.8948231562886235</x:v>
      </x:c>
      <x:c r="R220" s="73" t="str">
        <x:f>INDEX(TrackMap!$B$8:$B$141,H220)</x:f>
        <x:v>发车大直道</x:v>
      </x:c>
    </x:row>
    <x:row r="221" ht="20" customHeight="1">
      <x:c r="A221" s="73" t="n">
        <x:v>35</x:v>
      </x:c>
      <x:c r="B221" s="73" t="n">
        <x:v>4</x:v>
      </x:c>
      <x:c r="C221" s="73" t="str">
        <x:f>INDEX(Drivers!$B$8:$B$13,B221)</x:f>
        <x:v>紫影</x:v>
      </x:c>
      <x:c r="D221" s="83" t="n">
        <x:f>G215</x:f>
        <x:v>110.67033106542937</x:v>
      </x:c>
      <x:c r="E221" s="83" t="str">
        <x:f>IF(A221=0,"GRID",IF(D221&gt;=Control!$B$17,"FINISHED",IF(AND(A221&gt;=INDEX(Drivers!$G$8:$G$13,B221),A221&lt;INDEX(Drivers!$G$8:$G$13,B221)+INDEX(Drivers!$J$8:$J$13,B221)),"PIT",IF(MOD(A221+INDEX(Drivers!$F$8:$F$13,B221),Control!$B$11)&lt;Control!$B$13,"BOOST","RACE"))))</x:f>
        <x:v>RACE</x:v>
      </x:c>
      <x:c r="F221" s="83" t="n">
        <x:f>IF(OR(E221="GRID",E221="FINISHED",E221="PIT"),0,MAX(Control!$B$15,(INDEX(Drivers!$D$8:$D$13,B221)+INDEX(Drivers!$E$8:$E$13,B221)*SIN((A221+INDEX(Drivers!$F$8:$F$13,B221)+Control!$B$16)*Control!$B$14))*INDEX(TrackMap!$M$8:$M$141,MOD(INT(D221)-1,Control!$B$7)+1)*IF(E221="BOOST",Control!$B$12,1)))</x:f>
        <x:v>4.002615507586301</x:v>
      </x:c>
      <x:c r="G221" s="83" t="n">
        <x:f>IF(A221=0,D221,MIN(Control!$B$17,D221+F221))</x:f>
        <x:v>114.67294657301566</x:v>
      </x:c>
      <x:c r="H221" s="73" t="n">
        <x:f>MOD(INT(G221)-1,Control!$B$7)+1</x:f>
        <x:v>114</x:v>
      </x:c>
      <x:c r="I221" s="73" t="n">
        <x:f>MIN(Control!$B$6,MAX(1,INT(MAX(0,G221)/Control!$B$7)+1))</x:f>
        <x:v>1</x:v>
      </x:c>
      <x:c r="J221" s="73" t="n">
        <x:f>INDEX(Drivers!$H$8:$H$13,B221)</x:f>
        <x:v>2</x:v>
      </x:c>
      <x:c r="K221" s="73" t="n">
        <x:f>IF(J221=1,INDEX(TrackMap!$I$8:$I$141,H221),INDEX(TrackMap!$L$8:$L$141,H221))</x:f>
        <x:v>3037</x:v>
      </x:c>
      <x:c r="L221" s="73" t="str">
        <x:f>INDEX(TrackMap!$F$8:$F$141,H221)</x:f>
        <x:v>←</x:v>
      </x:c>
      <x:c r="M221" s="87" t="n">
        <x:f>MAX(0,G221/Control!$B$17)</x:f>
        <x:v>0.1711536516015159</x:v>
      </x:c>
      <x:c r="N221" s="73" t="n">
        <x:f>IF(N215&gt;0,N215,IF(G221&gt;=Control!$B$17,A221,0))</x:f>
        <x:v>0</x:v>
      </x:c>
      <x:c r="O221" s="91" t="n">
        <x:f>IF(N221&gt;0,Control!$B$17+Control!$B$8+1-N221,G221)-B221/100000</x:f>
        <x:v>114.67290657301567</x:v>
      </x:c>
      <x:c r="P221" s="73" t="n">
        <x:f>COUNTIF($O$218:$O$223,"&gt;"&amp;O221)+1</x:f>
        <x:v>4</x:v>
      </x:c>
      <x:c r="Q221" s="83" t="n">
        <x:f>MAX($G$218:$G$223)-G221</x:f>
        <x:v>6.882398753521997</x:v>
      </x:c>
      <x:c r="R221" s="73" t="str">
        <x:f>INDEX(TrackMap!$B$8:$B$141,H221)</x:f>
        <x:v>发车大直道</x:v>
      </x:c>
    </x:row>
    <x:row r="222" ht="20" customHeight="1">
      <x:c r="A222" s="73" t="n">
        <x:v>35</x:v>
      </x:c>
      <x:c r="B222" s="73" t="n">
        <x:v>5</x:v>
      </x:c>
      <x:c r="C222" s="73" t="str">
        <x:f>INDEX(Drivers!$B$8:$B$13,B222)</x:f>
        <x:v>青锋</x:v>
      </x:c>
      <x:c r="D222" s="83" t="n">
        <x:f>G216</x:f>
        <x:v>109.39950004002189</x:v>
      </x:c>
      <x:c r="E222" s="83" t="str">
        <x:f>IF(A222=0,"GRID",IF(D222&gt;=Control!$B$17,"FINISHED",IF(AND(A222&gt;=INDEX(Drivers!$G$8:$G$13,B222),A222&lt;INDEX(Drivers!$G$8:$G$13,B222)+INDEX(Drivers!$J$8:$J$13,B222)),"PIT",IF(MOD(A222+INDEX(Drivers!$F$8:$F$13,B222),Control!$B$11)&lt;Control!$B$13,"BOOST","RACE"))))</x:f>
        <x:v>RACE</x:v>
      </x:c>
      <x:c r="F222" s="83" t="n">
        <x:f>IF(OR(E222="GRID",E222="FINISHED",E222="PIT"),0,MAX(Control!$B$15,(INDEX(Drivers!$D$8:$D$13,B222)+INDEX(Drivers!$E$8:$E$13,B222)*SIN((A222+INDEX(Drivers!$F$8:$F$13,B222)+Control!$B$16)*Control!$B$14))*INDEX(TrackMap!$M$8:$M$141,MOD(INT(D222)-1,Control!$B$7)+1)*IF(E222="BOOST",Control!$B$12,1)))</x:f>
        <x:v>3.9884064958399446</x:v>
      </x:c>
      <x:c r="G222" s="83" t="n">
        <x:f>IF(A222=0,D222,MIN(Control!$B$17,D222+F222))</x:f>
        <x:v>113.38790653586183</x:v>
      </x:c>
      <x:c r="H222" s="73" t="n">
        <x:f>MOD(INT(G222)-1,Control!$B$7)+1</x:f>
        <x:v>113</x:v>
      </x:c>
      <x:c r="I222" s="73" t="n">
        <x:f>MIN(Control!$B$6,MAX(1,INT(MAX(0,G222)/Control!$B$7)+1))</x:f>
        <x:v>1</x:v>
      </x:c>
      <x:c r="J222" s="73" t="n">
        <x:f>INDEX(Drivers!$H$8:$H$13,B222)</x:f>
        <x:v>1</x:v>
      </x:c>
      <x:c r="K222" s="73" t="n">
        <x:f>IF(J222=1,INDEX(TrackMap!$I$8:$I$141,H222),INDEX(TrackMap!$L$8:$L$141,H222))</x:f>
        <x:v>3138</x:v>
      </x:c>
      <x:c r="L222" s="73" t="str">
        <x:f>INDEX(TrackMap!$F$8:$F$141,H222)</x:f>
        <x:v>←</x:v>
      </x:c>
      <x:c r="M222" s="87" t="n">
        <x:f>MAX(0,G222/Control!$B$17)</x:f>
        <x:v>0.1692356813968087</x:v>
      </x:c>
      <x:c r="N222" s="73" t="n">
        <x:f>IF(N216&gt;0,N216,IF(G222&gt;=Control!$B$17,A222,0))</x:f>
        <x:v>0</x:v>
      </x:c>
      <x:c r="O222" s="91" t="n">
        <x:f>IF(N222&gt;0,Control!$B$17+Control!$B$8+1-N222,G222)-B222/100000</x:f>
        <x:v>113.38785653586183</x:v>
      </x:c>
      <x:c r="P222" s="73" t="n">
        <x:f>COUNTIF($O$218:$O$223,"&gt;"&amp;O222)+1</x:f>
        <x:v>5</x:v>
      </x:c>
      <x:c r="Q222" s="83" t="n">
        <x:f>MAX($G$218:$G$223)-G222</x:f>
        <x:v>8.167438790675831</x:v>
      </x:c>
      <x:c r="R222" s="73" t="str">
        <x:f>INDEX(TrackMap!$B$8:$B$141,H222)</x:f>
        <x:v>发车大直道</x:v>
      </x:c>
    </x:row>
    <x:row r="223" ht="20" customHeight="1">
      <x:c r="A223" s="73" t="n">
        <x:v>35</x:v>
      </x:c>
      <x:c r="B223" s="73" t="n">
        <x:v>6</x:v>
      </x:c>
      <x:c r="C223" s="73" t="str">
        <x:f>INDEX(Drivers!$B$8:$B$13,B223)</x:f>
        <x:v>玫速</x:v>
      </x:c>
      <x:c r="D223" s="83" t="n">
        <x:f>G217</x:f>
        <x:v>109.20013876793806</x:v>
      </x:c>
      <x:c r="E223" s="83" t="str">
        <x:f>IF(A223=0,"GRID",IF(D223&gt;=Control!$B$17,"FINISHED",IF(AND(A223&gt;=INDEX(Drivers!$G$8:$G$13,B223),A223&lt;INDEX(Drivers!$G$8:$G$13,B223)+INDEX(Drivers!$J$8:$J$13,B223)),"PIT",IF(MOD(A223+INDEX(Drivers!$F$8:$F$13,B223),Control!$B$11)&lt;Control!$B$13,"BOOST","RACE"))))</x:f>
        <x:v>RACE</x:v>
      </x:c>
      <x:c r="F223" s="83" t="n">
        <x:f>IF(OR(E223="GRID",E223="FINISHED",E223="PIT"),0,MAX(Control!$B$15,(INDEX(Drivers!$D$8:$D$13,B223)+INDEX(Drivers!$E$8:$E$13,B223)*SIN((A223+INDEX(Drivers!$F$8:$F$13,B223)+Control!$B$16)*Control!$B$14))*INDEX(TrackMap!$M$8:$M$141,MOD(INT(D223)-1,Control!$B$7)+1)*IF(E223="BOOST",Control!$B$12,1)))</x:f>
        <x:v>3.555598147635945</x:v>
      </x:c>
      <x:c r="G223" s="83" t="n">
        <x:f>IF(A223=0,D223,MIN(Control!$B$17,D223+F223))</x:f>
        <x:v>112.755736915574</x:v>
      </x:c>
      <x:c r="H223" s="73" t="n">
        <x:f>MOD(INT(G223)-1,Control!$B$7)+1</x:f>
        <x:v>112</x:v>
      </x:c>
      <x:c r="I223" s="73" t="n">
        <x:f>MIN(Control!$B$6,MAX(1,INT(MAX(0,G223)/Control!$B$7)+1))</x:f>
        <x:v>1</x:v>
      </x:c>
      <x:c r="J223" s="73" t="n">
        <x:f>INDEX(Drivers!$H$8:$H$13,B223)</x:f>
        <x:v>2</x:v>
      </x:c>
      <x:c r="K223" s="73" t="n">
        <x:f>IF(J223=1,INDEX(TrackMap!$I$8:$I$141,H223),INDEX(TrackMap!$L$8:$L$141,H223))</x:f>
        <x:v>3039</x:v>
      </x:c>
      <x:c r="L223" s="73" t="str">
        <x:f>INDEX(TrackMap!$F$8:$F$141,H223)</x:f>
        <x:v>←</x:v>
      </x:c>
      <x:c r="M223" s="87" t="n">
        <x:f>MAX(0,G223/Control!$B$17)</x:f>
        <x:v>0.16829214465011044</x:v>
      </x:c>
      <x:c r="N223" s="73" t="n">
        <x:f>IF(N217&gt;0,N217,IF(G223&gt;=Control!$B$17,A223,0))</x:f>
        <x:v>0</x:v>
      </x:c>
      <x:c r="O223" s="91" t="n">
        <x:f>IF(N223&gt;0,Control!$B$17+Control!$B$8+1-N223,G223)-B223/100000</x:f>
        <x:v>112.755676915574</x:v>
      </x:c>
      <x:c r="P223" s="73" t="n">
        <x:f>COUNTIF($O$218:$O$223,"&gt;"&amp;O223)+1</x:f>
        <x:v>6</x:v>
      </x:c>
      <x:c r="Q223" s="83" t="n">
        <x:f>MAX($G$218:$G$223)-G223</x:f>
        <x:v>8.799608410963657</x:v>
      </x:c>
      <x:c r="R223" s="73" t="str">
        <x:f>INDEX(TrackMap!$B$8:$B$141,H223)</x:f>
        <x:v>发车大直道</x:v>
      </x:c>
    </x:row>
    <x:row r="224" ht="20" customHeight="1">
      <x:c r="A224" s="73" t="n">
        <x:v>36</x:v>
      </x:c>
      <x:c r="B224" s="73" t="n">
        <x:v>1</x:v>
      </x:c>
      <x:c r="C224" s="73" t="str">
        <x:f>INDEX(Drivers!$B$8:$B$13,B224)</x:f>
        <x:v>赤焰</x:v>
      </x:c>
      <x:c r="D224" s="83" t="n">
        <x:f>G218</x:f>
        <x:v>121.55534532653766</x:v>
      </x:c>
      <x:c r="E224" s="83" t="str">
        <x:f>IF(A224=0,"GRID",IF(D224&gt;=Control!$B$17,"FINISHED",IF(AND(A224&gt;=INDEX(Drivers!$G$8:$G$13,B224),A224&lt;INDEX(Drivers!$G$8:$G$13,B224)+INDEX(Drivers!$J$8:$J$13,B224)),"PIT",IF(MOD(A224+INDEX(Drivers!$F$8:$F$13,B224),Control!$B$11)&lt;Control!$B$13,"BOOST","RACE"))))</x:f>
        <x:v>RACE</x:v>
      </x:c>
      <x:c r="F224" s="83" t="n">
        <x:f>IF(OR(E224="GRID",E224="FINISHED",E224="PIT"),0,MAX(Control!$B$15,(INDEX(Drivers!$D$8:$D$13,B224)+INDEX(Drivers!$E$8:$E$13,B224)*SIN((A224+INDEX(Drivers!$F$8:$F$13,B224)+Control!$B$16)*Control!$B$14))*INDEX(TrackMap!$M$8:$M$141,MOD(INT(D224)-1,Control!$B$7)+1)*IF(E224="BOOST",Control!$B$12,1)))</x:f>
        <x:v>3.461635659841713</x:v>
      </x:c>
      <x:c r="G224" s="83" t="n">
        <x:f>IF(A224=0,D224,MIN(Control!$B$17,D224+F224))</x:f>
        <x:v>125.01698098637938</x:v>
      </x:c>
      <x:c r="H224" s="73" t="n">
        <x:f>MOD(INT(G224)-1,Control!$B$7)+1</x:f>
        <x:v>125</x:v>
      </x:c>
      <x:c r="I224" s="73" t="n">
        <x:f>MIN(Control!$B$6,MAX(1,INT(MAX(0,G224)/Control!$B$7)+1))</x:f>
        <x:v>1</x:v>
      </x:c>
      <x:c r="J224" s="73" t="n">
        <x:f>INDEX(Drivers!$H$8:$H$13,B224)</x:f>
        <x:v>1</x:v>
      </x:c>
      <x:c r="K224" s="73" t="n">
        <x:f>IF(J224=1,INDEX(TrackMap!$I$8:$I$141,H224),INDEX(TrackMap!$L$8:$L$141,H224))</x:f>
        <x:v>3126</x:v>
      </x:c>
      <x:c r="L224" s="73" t="str">
        <x:f>INDEX(TrackMap!$F$8:$F$141,H224)</x:f>
        <x:v>←</x:v>
      </x:c>
      <x:c r="M224" s="87" t="n">
        <x:f>MAX(0,G224/Control!$B$17)</x:f>
        <x:v>0.1865925089348946</x:v>
      </x:c>
      <x:c r="N224" s="73" t="n">
        <x:f>IF(N218&gt;0,N218,IF(G224&gt;=Control!$B$17,A224,0))</x:f>
        <x:v>0</x:v>
      </x:c>
      <x:c r="O224" s="91" t="n">
        <x:f>IF(N224&gt;0,Control!$B$17+Control!$B$8+1-N224,G224)-B224/100000</x:f>
        <x:v>125.01697098637938</x:v>
      </x:c>
      <x:c r="P224" s="73" t="n">
        <x:f>COUNTIF($O$224:$O$229,"&gt;"&amp;O224)+1</x:f>
        <x:v>1</x:v>
      </x:c>
      <x:c r="Q224" s="83" t="n">
        <x:f>MAX($G$224:$G$229)-G224</x:f>
        <x:v>0</x:v>
      </x:c>
      <x:c r="R224" s="73" t="str">
        <x:f>INDEX(TrackMap!$B$8:$B$141,H224)</x:f>
        <x:v>发车大直道</x:v>
      </x:c>
    </x:row>
    <x:row r="225" ht="20" customHeight="1">
      <x:c r="A225" s="73" t="n">
        <x:v>36</x:v>
      </x:c>
      <x:c r="B225" s="73" t="n">
        <x:v>2</x:v>
      </x:c>
      <x:c r="C225" s="73" t="str">
        <x:f>INDEX(Drivers!$B$8:$B$13,B225)</x:f>
        <x:v>蓝电</x:v>
      </x:c>
      <x:c r="D225" s="83" t="n">
        <x:f>G219</x:f>
        <x:v>118.45325085803857</x:v>
      </x:c>
      <x:c r="E225" s="83" t="str">
        <x:f>IF(A225=0,"GRID",IF(D225&gt;=Control!$B$17,"FINISHED",IF(AND(A225&gt;=INDEX(Drivers!$G$8:$G$13,B225),A225&lt;INDEX(Drivers!$G$8:$G$13,B225)+INDEX(Drivers!$J$8:$J$13,B225)),"PIT",IF(MOD(A225+INDEX(Drivers!$F$8:$F$13,B225),Control!$B$11)&lt;Control!$B$13,"BOOST","RACE"))))</x:f>
        <x:v>RACE</x:v>
      </x:c>
      <x:c r="F225" s="83" t="n">
        <x:f>IF(OR(E225="GRID",E225="FINISHED",E225="PIT"),0,MAX(Control!$B$15,(INDEX(Drivers!$D$8:$D$13,B225)+INDEX(Drivers!$E$8:$E$13,B225)*SIN((A225+INDEX(Drivers!$F$8:$F$13,B225)+Control!$B$16)*Control!$B$14))*INDEX(TrackMap!$M$8:$M$141,MOD(INT(D225)-1,Control!$B$7)+1)*IF(E225="BOOST",Control!$B$12,1)))</x:f>
        <x:v>4.050424215116574</x:v>
      </x:c>
      <x:c r="G225" s="83" t="n">
        <x:f>IF(A225=0,D225,MIN(Control!$B$17,D225+F225))</x:f>
        <x:v>122.50367507315515</x:v>
      </x:c>
      <x:c r="H225" s="73" t="n">
        <x:f>MOD(INT(G225)-1,Control!$B$7)+1</x:f>
        <x:v>122</x:v>
      </x:c>
      <x:c r="I225" s="73" t="n">
        <x:f>MIN(Control!$B$6,MAX(1,INT(MAX(0,G225)/Control!$B$7)+1))</x:f>
        <x:v>1</x:v>
      </x:c>
      <x:c r="J225" s="73" t="n">
        <x:f>INDEX(Drivers!$H$8:$H$13,B225)</x:f>
        <x:v>2</x:v>
      </x:c>
      <x:c r="K225" s="73" t="n">
        <x:f>IF(J225=1,INDEX(TrackMap!$I$8:$I$141,H225),INDEX(TrackMap!$L$8:$L$141,H225))</x:f>
        <x:v>3029</x:v>
      </x:c>
      <x:c r="L225" s="73" t="str">
        <x:f>INDEX(TrackMap!$F$8:$F$141,H225)</x:f>
        <x:v>←</x:v>
      </x:c>
      <x:c r="M225" s="87" t="n">
        <x:f>MAX(0,G225/Control!$B$17)</x:f>
        <x:v>0.18284130607933605</x:v>
      </x:c>
      <x:c r="N225" s="73" t="n">
        <x:f>IF(N219&gt;0,N219,IF(G225&gt;=Control!$B$17,A225,0))</x:f>
        <x:v>0</x:v>
      </x:c>
      <x:c r="O225" s="91" t="n">
        <x:f>IF(N225&gt;0,Control!$B$17+Control!$B$8+1-N225,G225)-B225/100000</x:f>
        <x:v>122.50365507315514</x:v>
      </x:c>
      <x:c r="P225" s="73" t="n">
        <x:f>COUNTIF($O$224:$O$229,"&gt;"&amp;O225)+1</x:f>
        <x:v>2</x:v>
      </x:c>
      <x:c r="Q225" s="83" t="n">
        <x:f>MAX($G$224:$G$229)-G225</x:f>
        <x:v>2.5133059132242295</x:v>
      </x:c>
      <x:c r="R225" s="73" t="str">
        <x:f>INDEX(TrackMap!$B$8:$B$141,H225)</x:f>
        <x:v>发车大直道</x:v>
      </x:c>
    </x:row>
    <x:row r="226" ht="20" customHeight="1">
      <x:c r="A226" s="73" t="n">
        <x:v>36</x:v>
      </x:c>
      <x:c r="B226" s="73" t="n">
        <x:v>3</x:v>
      </x:c>
      <x:c r="C226" s="73" t="str">
        <x:f>INDEX(Drivers!$B$8:$B$13,B226)</x:f>
        <x:v>金翼</x:v>
      </x:c>
      <x:c r="D226" s="83" t="n">
        <x:f>G220</x:f>
        <x:v>116.66052217024904</x:v>
      </x:c>
      <x:c r="E226" s="83" t="str">
        <x:f>IF(A226=0,"GRID",IF(D226&gt;=Control!$B$17,"FINISHED",IF(AND(A226&gt;=INDEX(Drivers!$G$8:$G$13,B226),A226&lt;INDEX(Drivers!$G$8:$G$13,B226)+INDEX(Drivers!$J$8:$J$13,B226)),"PIT",IF(MOD(A226+INDEX(Drivers!$F$8:$F$13,B226),Control!$B$11)&lt;Control!$B$13,"BOOST","RACE"))))</x:f>
        <x:v>RACE</x:v>
      </x:c>
      <x:c r="F226" s="83" t="n">
        <x:f>IF(OR(E226="GRID",E226="FINISHED",E226="PIT"),0,MAX(Control!$B$15,(INDEX(Drivers!$D$8:$D$13,B226)+INDEX(Drivers!$E$8:$E$13,B226)*SIN((A226+INDEX(Drivers!$F$8:$F$13,B226)+Control!$B$16)*Control!$B$14))*INDEX(TrackMap!$M$8:$M$141,MOD(INT(D226)-1,Control!$B$7)+1)*IF(E226="BOOST",Control!$B$12,1)))</x:f>
        <x:v>3.2034802067553363</x:v>
      </x:c>
      <x:c r="G226" s="83" t="n">
        <x:f>IF(A226=0,D226,MIN(Control!$B$17,D226+F226))</x:f>
        <x:v>119.86400237700437</x:v>
      </x:c>
      <x:c r="H226" s="73" t="n">
        <x:f>MOD(INT(G226)-1,Control!$B$7)+1</x:f>
        <x:v>119</x:v>
      </x:c>
      <x:c r="I226" s="73" t="n">
        <x:f>MIN(Control!$B$6,MAX(1,INT(MAX(0,G226)/Control!$B$7)+1))</x:f>
        <x:v>1</x:v>
      </x:c>
      <x:c r="J226" s="73" t="n">
        <x:f>INDEX(Drivers!$H$8:$H$13,B226)</x:f>
        <x:v>1</x:v>
      </x:c>
      <x:c r="K226" s="73" t="n">
        <x:f>IF(J226=1,INDEX(TrackMap!$I$8:$I$141,H226),INDEX(TrackMap!$L$8:$L$141,H226))</x:f>
        <x:v>3132</x:v>
      </x:c>
      <x:c r="L226" s="73" t="str">
        <x:f>INDEX(TrackMap!$F$8:$F$141,H226)</x:f>
        <x:v>←</x:v>
      </x:c>
      <x:c r="M226" s="87" t="n">
        <x:f>MAX(0,G226/Control!$B$17)</x:f>
        <x:v>0.17890149608508116</x:v>
      </x:c>
      <x:c r="N226" s="73" t="n">
        <x:f>IF(N220&gt;0,N220,IF(G226&gt;=Control!$B$17,A226,0))</x:f>
        <x:v>0</x:v>
      </x:c>
      <x:c r="O226" s="91" t="n">
        <x:f>IF(N226&gt;0,Control!$B$17+Control!$B$8+1-N226,G226)-B226/100000</x:f>
        <x:v>119.86397237700437</x:v>
      </x:c>
      <x:c r="P226" s="73" t="n">
        <x:f>COUNTIF($O$224:$O$229,"&gt;"&amp;O226)+1</x:f>
        <x:v>3</x:v>
      </x:c>
      <x:c r="Q226" s="83" t="n">
        <x:f>MAX($G$224:$G$229)-G226</x:f>
        <x:v>5.152978609375012</x:v>
      </x:c>
      <x:c r="R226" s="73" t="str">
        <x:f>INDEX(TrackMap!$B$8:$B$141,H226)</x:f>
        <x:v>发车大直道</x:v>
      </x:c>
    </x:row>
    <x:row r="227" ht="20" customHeight="1">
      <x:c r="A227" s="73" t="n">
        <x:v>36</x:v>
      </x:c>
      <x:c r="B227" s="73" t="n">
        <x:v>4</x:v>
      </x:c>
      <x:c r="C227" s="73" t="str">
        <x:f>INDEX(Drivers!$B$8:$B$13,B227)</x:f>
        <x:v>紫影</x:v>
      </x:c>
      <x:c r="D227" s="83" t="n">
        <x:f>G221</x:f>
        <x:v>114.67294657301566</x:v>
      </x:c>
      <x:c r="E227" s="83" t="str">
        <x:f>IF(A227=0,"GRID",IF(D227&gt;=Control!$B$17,"FINISHED",IF(AND(A227&gt;=INDEX(Drivers!$G$8:$G$13,B227),A227&lt;INDEX(Drivers!$G$8:$G$13,B227)+INDEX(Drivers!$J$8:$J$13,B227)),"PIT",IF(MOD(A227+INDEX(Drivers!$F$8:$F$13,B227),Control!$B$11)&lt;Control!$B$13,"BOOST","RACE"))))</x:f>
        <x:v>RACE</x:v>
      </x:c>
      <x:c r="F227" s="83" t="n">
        <x:f>IF(OR(E227="GRID",E227="FINISHED",E227="PIT"),0,MAX(Control!$B$15,(INDEX(Drivers!$D$8:$D$13,B227)+INDEX(Drivers!$E$8:$E$13,B227)*SIN((A227+INDEX(Drivers!$F$8:$F$13,B227)+Control!$B$16)*Control!$B$14))*INDEX(TrackMap!$M$8:$M$141,MOD(INT(D227)-1,Control!$B$7)+1)*IF(E227="BOOST",Control!$B$12,1)))</x:f>
        <x:v>4.126341509737625</x:v>
      </x:c>
      <x:c r="G227" s="83" t="n">
        <x:f>IF(A227=0,D227,MIN(Control!$B$17,D227+F227))</x:f>
        <x:v>118.79928808275329</x:v>
      </x:c>
      <x:c r="H227" s="73" t="n">
        <x:f>MOD(INT(G227)-1,Control!$B$7)+1</x:f>
        <x:v>118</x:v>
      </x:c>
      <x:c r="I227" s="73" t="n">
        <x:f>MIN(Control!$B$6,MAX(1,INT(MAX(0,G227)/Control!$B$7)+1))</x:f>
        <x:v>1</x:v>
      </x:c>
      <x:c r="J227" s="73" t="n">
        <x:f>INDEX(Drivers!$H$8:$H$13,B227)</x:f>
        <x:v>2</x:v>
      </x:c>
      <x:c r="K227" s="73" t="n">
        <x:f>IF(J227=1,INDEX(TrackMap!$I$8:$I$141,H227),INDEX(TrackMap!$L$8:$L$141,H227))</x:f>
        <x:v>3033</x:v>
      </x:c>
      <x:c r="L227" s="73" t="str">
        <x:f>INDEX(TrackMap!$F$8:$F$141,H227)</x:f>
        <x:v>←</x:v>
      </x:c>
      <x:c r="M227" s="87" t="n">
        <x:f>MAX(0,G227/Control!$B$17)</x:f>
        <x:v>0.1773123702727661</x:v>
      </x:c>
      <x:c r="N227" s="73" t="n">
        <x:f>IF(N221&gt;0,N221,IF(G227&gt;=Control!$B$17,A227,0))</x:f>
        <x:v>0</x:v>
      </x:c>
      <x:c r="O227" s="91" t="n">
        <x:f>IF(N227&gt;0,Control!$B$17+Control!$B$8+1-N227,G227)-B227/100000</x:f>
        <x:v>118.7992480827533</x:v>
      </x:c>
      <x:c r="P227" s="73" t="n">
        <x:f>COUNTIF($O$224:$O$229,"&gt;"&amp;O227)+1</x:f>
        <x:v>4</x:v>
      </x:c>
      <x:c r="Q227" s="83" t="n">
        <x:f>MAX($G$224:$G$229)-G227</x:f>
        <x:v>6.217692903626087</x:v>
      </x:c>
      <x:c r="R227" s="73" t="str">
        <x:f>INDEX(TrackMap!$B$8:$B$141,H227)</x:f>
        <x:v>发车大直道</x:v>
      </x:c>
    </x:row>
    <x:row r="228" ht="20" customHeight="1">
      <x:c r="A228" s="73" t="n">
        <x:v>36</x:v>
      </x:c>
      <x:c r="B228" s="73" t="n">
        <x:v>5</x:v>
      </x:c>
      <x:c r="C228" s="73" t="str">
        <x:f>INDEX(Drivers!$B$8:$B$13,B228)</x:f>
        <x:v>青锋</x:v>
      </x:c>
      <x:c r="D228" s="83" t="n">
        <x:f>G222</x:f>
        <x:v>113.38790653586183</x:v>
      </x:c>
      <x:c r="E228" s="83" t="str">
        <x:f>IF(A228=0,"GRID",IF(D228&gt;=Control!$B$17,"FINISHED",IF(AND(A228&gt;=INDEX(Drivers!$G$8:$G$13,B228),A228&lt;INDEX(Drivers!$G$8:$G$13,B228)+INDEX(Drivers!$J$8:$J$13,B228)),"PIT",IF(MOD(A228+INDEX(Drivers!$F$8:$F$13,B228),Control!$B$11)&lt;Control!$B$13,"BOOST","RACE"))))</x:f>
        <x:v>RACE</x:v>
      </x:c>
      <x:c r="F228" s="83" t="n">
        <x:f>IF(OR(E228="GRID",E228="FINISHED",E228="PIT"),0,MAX(Control!$B$15,(INDEX(Drivers!$D$8:$D$13,B228)+INDEX(Drivers!$E$8:$E$13,B228)*SIN((A228+INDEX(Drivers!$F$8:$F$13,B228)+Control!$B$16)*Control!$B$14))*INDEX(TrackMap!$M$8:$M$141,MOD(INT(D228)-1,Control!$B$7)+1)*IF(E228="BOOST",Control!$B$12,1)))</x:f>
        <x:v>4.1003928167255035</x:v>
      </x:c>
      <x:c r="G228" s="83" t="n">
        <x:f>IF(A228=0,D228,MIN(Control!$B$17,D228+F228))</x:f>
        <x:v>117.48829935258733</x:v>
      </x:c>
      <x:c r="H228" s="73" t="n">
        <x:f>MOD(INT(G228)-1,Control!$B$7)+1</x:f>
        <x:v>117</x:v>
      </x:c>
      <x:c r="I228" s="73" t="n">
        <x:f>MIN(Control!$B$6,MAX(1,INT(MAX(0,G228)/Control!$B$7)+1))</x:f>
        <x:v>1</x:v>
      </x:c>
      <x:c r="J228" s="73" t="n">
        <x:f>INDEX(Drivers!$H$8:$H$13,B228)</x:f>
        <x:v>1</x:v>
      </x:c>
      <x:c r="K228" s="73" t="n">
        <x:f>IF(J228=1,INDEX(TrackMap!$I$8:$I$141,H228),INDEX(TrackMap!$L$8:$L$141,H228))</x:f>
        <x:v>3134</x:v>
      </x:c>
      <x:c r="L228" s="73" t="str">
        <x:f>INDEX(TrackMap!$F$8:$F$141,H228)</x:f>
        <x:v>←</x:v>
      </x:c>
      <x:c r="M228" s="87" t="n">
        <x:f>MAX(0,G228/Control!$B$17)</x:f>
        <x:v>0.17535567067550348</x:v>
      </x:c>
      <x:c r="N228" s="73" t="n">
        <x:f>IF(N222&gt;0,N222,IF(G228&gt;=Control!$B$17,A228,0))</x:f>
        <x:v>0</x:v>
      </x:c>
      <x:c r="O228" s="91" t="n">
        <x:f>IF(N228&gt;0,Control!$B$17+Control!$B$8+1-N228,G228)-B228/100000</x:f>
        <x:v>117.48824935258733</x:v>
      </x:c>
      <x:c r="P228" s="73" t="n">
        <x:f>COUNTIF($O$224:$O$229,"&gt;"&amp;O228)+1</x:f>
        <x:v>5</x:v>
      </x:c>
      <x:c r="Q228" s="83" t="n">
        <x:f>MAX($G$224:$G$229)-G228</x:f>
        <x:v>7.528681633792047</x:v>
      </x:c>
      <x:c r="R228" s="73" t="str">
        <x:f>INDEX(TrackMap!$B$8:$B$141,H228)</x:f>
        <x:v>发车大直道</x:v>
      </x:c>
    </x:row>
    <x:row r="229" ht="20" customHeight="1">
      <x:c r="A229" s="73" t="n">
        <x:v>36</x:v>
      </x:c>
      <x:c r="B229" s="73" t="n">
        <x:v>6</x:v>
      </x:c>
      <x:c r="C229" s="73" t="str">
        <x:f>INDEX(Drivers!$B$8:$B$13,B229)</x:f>
        <x:v>玫速</x:v>
      </x:c>
      <x:c r="D229" s="83" t="n">
        <x:f>G223</x:f>
        <x:v>112.755736915574</x:v>
      </x:c>
      <x:c r="E229" s="83" t="str">
        <x:f>IF(A229=0,"GRID",IF(D229&gt;=Control!$B$17,"FINISHED",IF(AND(A229&gt;=INDEX(Drivers!$G$8:$G$13,B229),A229&lt;INDEX(Drivers!$G$8:$G$13,B229)+INDEX(Drivers!$J$8:$J$13,B229)),"PIT",IF(MOD(A229+INDEX(Drivers!$F$8:$F$13,B229),Control!$B$11)&lt;Control!$B$13,"BOOST","RACE"))))</x:f>
        <x:v>RACE</x:v>
      </x:c>
      <x:c r="F229" s="83" t="n">
        <x:f>IF(OR(E229="GRID",E229="FINISHED",E229="PIT"),0,MAX(Control!$B$15,(INDEX(Drivers!$D$8:$D$13,B229)+INDEX(Drivers!$E$8:$E$13,B229)*SIN((A229+INDEX(Drivers!$F$8:$F$13,B229)+Control!$B$16)*Control!$B$14))*INDEX(TrackMap!$M$8:$M$141,MOD(INT(D229)-1,Control!$B$7)+1)*IF(E229="BOOST",Control!$B$12,1)))</x:f>
        <x:v>3.351762298805537</x:v>
      </x:c>
      <x:c r="G229" s="83" t="n">
        <x:f>IF(A229=0,D229,MIN(Control!$B$17,D229+F229))</x:f>
        <x:v>116.10749921437954</x:v>
      </x:c>
      <x:c r="H229" s="73" t="n">
        <x:f>MOD(INT(G229)-1,Control!$B$7)+1</x:f>
        <x:v>116</x:v>
      </x:c>
      <x:c r="I229" s="73" t="n">
        <x:f>MIN(Control!$B$6,MAX(1,INT(MAX(0,G229)/Control!$B$7)+1))</x:f>
        <x:v>1</x:v>
      </x:c>
      <x:c r="J229" s="73" t="n">
        <x:f>INDEX(Drivers!$H$8:$H$13,B229)</x:f>
        <x:v>2</x:v>
      </x:c>
      <x:c r="K229" s="73" t="n">
        <x:f>IF(J229=1,INDEX(TrackMap!$I$8:$I$141,H229),INDEX(TrackMap!$L$8:$L$141,H229))</x:f>
        <x:v>3035</x:v>
      </x:c>
      <x:c r="L229" s="73" t="str">
        <x:f>INDEX(TrackMap!$F$8:$F$141,H229)</x:f>
        <x:v>←</x:v>
      </x:c>
      <x:c r="M229" s="87" t="n">
        <x:f>MAX(0,G229/Control!$B$17)</x:f>
        <x:v>0.17329477494683515</x:v>
      </x:c>
      <x:c r="N229" s="73" t="n">
        <x:f>IF(N223&gt;0,N223,IF(G229&gt;=Control!$B$17,A229,0))</x:f>
        <x:v>0</x:v>
      </x:c>
      <x:c r="O229" s="91" t="n">
        <x:f>IF(N229&gt;0,Control!$B$17+Control!$B$8+1-N229,G229)-B229/100000</x:f>
        <x:v>116.10743921437954</x:v>
      </x:c>
      <x:c r="P229" s="73" t="n">
        <x:f>COUNTIF($O$224:$O$229,"&gt;"&amp;O229)+1</x:f>
        <x:v>6</x:v>
      </x:c>
      <x:c r="Q229" s="83" t="n">
        <x:f>MAX($G$224:$G$229)-G229</x:f>
        <x:v>8.909481771999836</x:v>
      </x:c>
      <x:c r="R229" s="73" t="str">
        <x:f>INDEX(TrackMap!$B$8:$B$141,H229)</x:f>
        <x:v>发车大直道</x:v>
      </x:c>
    </x:row>
    <x:row r="230" ht="20" customHeight="1">
      <x:c r="A230" s="73" t="n">
        <x:v>37</x:v>
      </x:c>
      <x:c r="B230" s="73" t="n">
        <x:v>1</x:v>
      </x:c>
      <x:c r="C230" s="73" t="str">
        <x:f>INDEX(Drivers!$B$8:$B$13,B230)</x:f>
        <x:v>赤焰</x:v>
      </x:c>
      <x:c r="D230" s="83" t="n">
        <x:f>G224</x:f>
        <x:v>125.01698098637938</x:v>
      </x:c>
      <x:c r="E230" s="83" t="str">
        <x:f>IF(A230=0,"GRID",IF(D230&gt;=Control!$B$17,"FINISHED",IF(AND(A230&gt;=INDEX(Drivers!$G$8:$G$13,B230),A230&lt;INDEX(Drivers!$G$8:$G$13,B230)+INDEX(Drivers!$J$8:$J$13,B230)),"PIT",IF(MOD(A230+INDEX(Drivers!$F$8:$F$13,B230),Control!$B$11)&lt;Control!$B$13,"BOOST","RACE"))))</x:f>
        <x:v>RACE</x:v>
      </x:c>
      <x:c r="F230" s="83" t="n">
        <x:f>IF(OR(E230="GRID",E230="FINISHED",E230="PIT"),0,MAX(Control!$B$15,(INDEX(Drivers!$D$8:$D$13,B230)+INDEX(Drivers!$E$8:$E$13,B230)*SIN((A230+INDEX(Drivers!$F$8:$F$13,B230)+Control!$B$16)*Control!$B$14))*INDEX(TrackMap!$M$8:$M$141,MOD(INT(D230)-1,Control!$B$7)+1)*IF(E230="BOOST",Control!$B$12,1)))</x:f>
        <x:v>3.6612434598954287</x:v>
      </x:c>
      <x:c r="G230" s="83" t="n">
        <x:f>IF(A230=0,D230,MIN(Control!$B$17,D230+F230))</x:f>
        <x:v>128.6782244462748</x:v>
      </x:c>
      <x:c r="H230" s="73" t="n">
        <x:f>MOD(INT(G230)-1,Control!$B$7)+1</x:f>
        <x:v>128</x:v>
      </x:c>
      <x:c r="I230" s="73" t="n">
        <x:f>MIN(Control!$B$6,MAX(1,INT(MAX(0,G230)/Control!$B$7)+1))</x:f>
        <x:v>1</x:v>
      </x:c>
      <x:c r="J230" s="73" t="n">
        <x:f>INDEX(Drivers!$H$8:$H$13,B230)</x:f>
        <x:v>1</x:v>
      </x:c>
      <x:c r="K230" s="73" t="n">
        <x:f>IF(J230=1,INDEX(TrackMap!$I$8:$I$141,H230),INDEX(TrackMap!$L$8:$L$141,H230))</x:f>
        <x:v>3123</x:v>
      </x:c>
      <x:c r="L230" s="73" t="str">
        <x:f>INDEX(TrackMap!$F$8:$F$141,H230)</x:f>
        <x:v>←</x:v>
      </x:c>
      <x:c r="M230" s="87" t="n">
        <x:f>MAX(0,G230/Control!$B$17)</x:f>
        <x:v>0.19205705141235047</x:v>
      </x:c>
      <x:c r="N230" s="73" t="n">
        <x:f>IF(N224&gt;0,N224,IF(G230&gt;=Control!$B$17,A230,0))</x:f>
        <x:v>0</x:v>
      </x:c>
      <x:c r="O230" s="91" t="n">
        <x:f>IF(N230&gt;0,Control!$B$17+Control!$B$8+1-N230,G230)-B230/100000</x:f>
        <x:v>128.6782144462748</x:v>
      </x:c>
      <x:c r="P230" s="73" t="n">
        <x:f>COUNTIF($O$230:$O$235,"&gt;"&amp;O230)+1</x:f>
        <x:v>1</x:v>
      </x:c>
      <x:c r="Q230" s="83" t="n">
        <x:f>MAX($G$230:$G$235)-G230</x:f>
        <x:v>0</x:v>
      </x:c>
      <x:c r="R230" s="73" t="str">
        <x:f>INDEX(TrackMap!$B$8:$B$141,H230)</x:f>
        <x:v>发车大直道</x:v>
      </x:c>
    </x:row>
    <x:row r="231" ht="20" customHeight="1">
      <x:c r="A231" s="73" t="n">
        <x:v>37</x:v>
      </x:c>
      <x:c r="B231" s="73" t="n">
        <x:v>2</x:v>
      </x:c>
      <x:c r="C231" s="73" t="str">
        <x:f>INDEX(Drivers!$B$8:$B$13,B231)</x:f>
        <x:v>蓝电</x:v>
      </x:c>
      <x:c r="D231" s="83" t="n">
        <x:f>G225</x:f>
        <x:v>122.50367507315515</x:v>
      </x:c>
      <x:c r="E231" s="83" t="str">
        <x:f>IF(A231=0,"GRID",IF(D231&gt;=Control!$B$17,"FINISHED",IF(AND(A231&gt;=INDEX(Drivers!$G$8:$G$13,B231),A231&lt;INDEX(Drivers!$G$8:$G$13,B231)+INDEX(Drivers!$J$8:$J$13,B231)),"PIT",IF(MOD(A231+INDEX(Drivers!$F$8:$F$13,B231),Control!$B$11)&lt;Control!$B$13,"BOOST","RACE"))))</x:f>
        <x:v>RACE</x:v>
      </x:c>
      <x:c r="F231" s="83" t="n">
        <x:f>IF(OR(E231="GRID",E231="FINISHED",E231="PIT"),0,MAX(Control!$B$15,(INDEX(Drivers!$D$8:$D$13,B231)+INDEX(Drivers!$E$8:$E$13,B231)*SIN((A231+INDEX(Drivers!$F$8:$F$13,B231)+Control!$B$16)*Control!$B$14))*INDEX(TrackMap!$M$8:$M$141,MOD(INT(D231)-1,Control!$B$7)+1)*IF(E231="BOOST",Control!$B$12,1)))</x:f>
        <x:v>3.8839144037637143</x:v>
      </x:c>
      <x:c r="G231" s="83" t="n">
        <x:f>IF(A231=0,D231,MIN(Control!$B$17,D231+F231))</x:f>
        <x:v>126.38758947691886</x:v>
      </x:c>
      <x:c r="H231" s="73" t="n">
        <x:f>MOD(INT(G231)-1,Control!$B$7)+1</x:f>
        <x:v>126</x:v>
      </x:c>
      <x:c r="I231" s="73" t="n">
        <x:f>MIN(Control!$B$6,MAX(1,INT(MAX(0,G231)/Control!$B$7)+1))</x:f>
        <x:v>1</x:v>
      </x:c>
      <x:c r="J231" s="73" t="n">
        <x:f>INDEX(Drivers!$H$8:$H$13,B231)</x:f>
        <x:v>2</x:v>
      </x:c>
      <x:c r="K231" s="73" t="n">
        <x:f>IF(J231=1,INDEX(TrackMap!$I$8:$I$141,H231),INDEX(TrackMap!$L$8:$L$141,H231))</x:f>
        <x:v>3025</x:v>
      </x:c>
      <x:c r="L231" s="73" t="str">
        <x:f>INDEX(TrackMap!$F$8:$F$141,H231)</x:f>
        <x:v>←</x:v>
      </x:c>
      <x:c r="M231" s="87" t="n">
        <x:f>MAX(0,G231/Control!$B$17)</x:f>
        <x:v>0.18863819324913264</x:v>
      </x:c>
      <x:c r="N231" s="73" t="n">
        <x:f>IF(N225&gt;0,N225,IF(G231&gt;=Control!$B$17,A231,0))</x:f>
        <x:v>0</x:v>
      </x:c>
      <x:c r="O231" s="91" t="n">
        <x:f>IF(N231&gt;0,Control!$B$17+Control!$B$8+1-N231,G231)-B231/100000</x:f>
        <x:v>126.38756947691886</x:v>
      </x:c>
      <x:c r="P231" s="73" t="n">
        <x:f>COUNTIF($O$230:$O$235,"&gt;"&amp;O231)+1</x:f>
        <x:v>2</x:v>
      </x:c>
      <x:c r="Q231" s="83" t="n">
        <x:f>MAX($G$230:$G$235)-G231</x:f>
        <x:v>2.290634969355949</x:v>
      </x:c>
      <x:c r="R231" s="73" t="str">
        <x:f>INDEX(TrackMap!$B$8:$B$141,H231)</x:f>
        <x:v>发车大直道</x:v>
      </x:c>
    </x:row>
    <x:row r="232" ht="20" customHeight="1">
      <x:c r="A232" s="73" t="n">
        <x:v>37</x:v>
      </x:c>
      <x:c r="B232" s="73" t="n">
        <x:v>3</x:v>
      </x:c>
      <x:c r="C232" s="73" t="str">
        <x:f>INDEX(Drivers!$B$8:$B$13,B232)</x:f>
        <x:v>金翼</x:v>
      </x:c>
      <x:c r="D232" s="83" t="n">
        <x:f>G226</x:f>
        <x:v>119.86400237700437</x:v>
      </x:c>
      <x:c r="E232" s="83" t="str">
        <x:f>IF(A232=0,"GRID",IF(D232&gt;=Control!$B$17,"FINISHED",IF(AND(A232&gt;=INDEX(Drivers!$G$8:$G$13,B232),A232&lt;INDEX(Drivers!$G$8:$G$13,B232)+INDEX(Drivers!$J$8:$J$13,B232)),"PIT",IF(MOD(A232+INDEX(Drivers!$F$8:$F$13,B232),Control!$B$11)&lt;Control!$B$13,"BOOST","RACE"))))</x:f>
        <x:v>RACE</x:v>
      </x:c>
      <x:c r="F232" s="83" t="n">
        <x:f>IF(OR(E232="GRID",E232="FINISHED",E232="PIT"),0,MAX(Control!$B$15,(INDEX(Drivers!$D$8:$D$13,B232)+INDEX(Drivers!$E$8:$E$13,B232)*SIN((A232+INDEX(Drivers!$F$8:$F$13,B232)+Control!$B$16)*Control!$B$14))*INDEX(TrackMap!$M$8:$M$141,MOD(INT(D232)-1,Control!$B$7)+1)*IF(E232="BOOST",Control!$B$12,1)))</x:f>
        <x:v>3.258376744773301</x:v>
      </x:c>
      <x:c r="G232" s="83" t="n">
        <x:f>IF(A232=0,D232,MIN(Control!$B$17,D232+F232))</x:f>
        <x:v>123.12237912177767</x:v>
      </x:c>
      <x:c r="H232" s="73" t="n">
        <x:f>MOD(INT(G232)-1,Control!$B$7)+1</x:f>
        <x:v>123</x:v>
      </x:c>
      <x:c r="I232" s="73" t="n">
        <x:f>MIN(Control!$B$6,MAX(1,INT(MAX(0,G232)/Control!$B$7)+1))</x:f>
        <x:v>1</x:v>
      </x:c>
      <x:c r="J232" s="73" t="n">
        <x:f>INDEX(Drivers!$H$8:$H$13,B232)</x:f>
        <x:v>1</x:v>
      </x:c>
      <x:c r="K232" s="73" t="n">
        <x:f>IF(J232=1,INDEX(TrackMap!$I$8:$I$141,H232),INDEX(TrackMap!$L$8:$L$141,H232))</x:f>
        <x:v>3128</x:v>
      </x:c>
      <x:c r="L232" s="73" t="str">
        <x:f>INDEX(TrackMap!$F$8:$F$141,H232)</x:f>
        <x:v>←</x:v>
      </x:c>
      <x:c r="M232" s="87" t="n">
        <x:f>MAX(0,G232/Control!$B$17)</x:f>
        <x:v>0.18376474495787712</x:v>
      </x:c>
      <x:c r="N232" s="73" t="n">
        <x:f>IF(N226&gt;0,N226,IF(G232&gt;=Control!$B$17,A232,0))</x:f>
        <x:v>0</x:v>
      </x:c>
      <x:c r="O232" s="91" t="n">
        <x:f>IF(N232&gt;0,Control!$B$17+Control!$B$8+1-N232,G232)-B232/100000</x:f>
        <x:v>123.12234912177767</x:v>
      </x:c>
      <x:c r="P232" s="73" t="n">
        <x:f>COUNTIF($O$230:$O$235,"&gt;"&amp;O232)+1</x:f>
        <x:v>3</x:v>
      </x:c>
      <x:c r="Q232" s="83" t="n">
        <x:f>MAX($G$230:$G$235)-G232</x:f>
        <x:v>5.555845324497142</x:v>
      </x:c>
      <x:c r="R232" s="73" t="str">
        <x:f>INDEX(TrackMap!$B$8:$B$141,H232)</x:f>
        <x:v>发车大直道</x:v>
      </x:c>
    </x:row>
    <x:row r="233" ht="20" customHeight="1">
      <x:c r="A233" s="73" t="n">
        <x:v>37</x:v>
      </x:c>
      <x:c r="B233" s="73" t="n">
        <x:v>4</x:v>
      </x:c>
      <x:c r="C233" s="73" t="str">
        <x:f>INDEX(Drivers!$B$8:$B$13,B233)</x:f>
        <x:v>紫影</x:v>
      </x:c>
      <x:c r="D233" s="83" t="n">
        <x:f>G227</x:f>
        <x:v>118.79928808275329</x:v>
      </x:c>
      <x:c r="E233" s="83" t="str">
        <x:f>IF(A233=0,"GRID",IF(D233&gt;=Control!$B$17,"FINISHED",IF(AND(A233&gt;=INDEX(Drivers!$G$8:$G$13,B233),A233&lt;INDEX(Drivers!$G$8:$G$13,B233)+INDEX(Drivers!$J$8:$J$13,B233)),"PIT",IF(MOD(A233+INDEX(Drivers!$F$8:$F$13,B233),Control!$B$11)&lt;Control!$B$13,"BOOST","RACE"))))</x:f>
        <x:v>RACE</x:v>
      </x:c>
      <x:c r="F233" s="83" t="n">
        <x:f>IF(OR(E233="GRID",E233="FINISHED",E233="PIT"),0,MAX(Control!$B$15,(INDEX(Drivers!$D$8:$D$13,B233)+INDEX(Drivers!$E$8:$E$13,B233)*SIN((A233+INDEX(Drivers!$F$8:$F$13,B233)+Control!$B$16)*Control!$B$14))*INDEX(TrackMap!$M$8:$M$141,MOD(INT(D233)-1,Control!$B$7)+1)*IF(E233="BOOST",Control!$B$12,1)))</x:f>
        <x:v>4.178829657725604</x:v>
      </x:c>
      <x:c r="G233" s="83" t="n">
        <x:f>IF(A233=0,D233,MIN(Control!$B$17,D233+F233))</x:f>
        <x:v>122.9781177404789</x:v>
      </x:c>
      <x:c r="H233" s="73" t="n">
        <x:f>MOD(INT(G233)-1,Control!$B$7)+1</x:f>
        <x:v>122</x:v>
      </x:c>
      <x:c r="I233" s="73" t="n">
        <x:f>MIN(Control!$B$6,MAX(1,INT(MAX(0,G233)/Control!$B$7)+1))</x:f>
        <x:v>1</x:v>
      </x:c>
      <x:c r="J233" s="73" t="n">
        <x:f>INDEX(Drivers!$H$8:$H$13,B233)</x:f>
        <x:v>2</x:v>
      </x:c>
      <x:c r="K233" s="73" t="n">
        <x:f>IF(J233=1,INDEX(TrackMap!$I$8:$I$141,H233),INDEX(TrackMap!$L$8:$L$141,H233))</x:f>
        <x:v>3029</x:v>
      </x:c>
      <x:c r="L233" s="73" t="str">
        <x:f>INDEX(TrackMap!$F$8:$F$141,H233)</x:f>
        <x:v>←</x:v>
      </x:c>
      <x:c r="M233" s="87" t="n">
        <x:f>MAX(0,G233/Control!$B$17)</x:f>
        <x:v>0.18354942946340133</x:v>
      </x:c>
      <x:c r="N233" s="73" t="n">
        <x:f>IF(N227&gt;0,N227,IF(G233&gt;=Control!$B$17,A233,0))</x:f>
        <x:v>0</x:v>
      </x:c>
      <x:c r="O233" s="91" t="n">
        <x:f>IF(N233&gt;0,Control!$B$17+Control!$B$8+1-N233,G233)-B233/100000</x:f>
        <x:v>122.9780777404789</x:v>
      </x:c>
      <x:c r="P233" s="73" t="n">
        <x:f>COUNTIF($O$230:$O$235,"&gt;"&amp;O233)+1</x:f>
        <x:v>4</x:v>
      </x:c>
      <x:c r="Q233" s="83" t="n">
        <x:f>MAX($G$230:$G$235)-G233</x:f>
        <x:v>5.700106705795918</x:v>
      </x:c>
      <x:c r="R233" s="73" t="str">
        <x:f>INDEX(TrackMap!$B$8:$B$141,H233)</x:f>
        <x:v>发车大直道</x:v>
      </x:c>
    </x:row>
    <x:row r="234" ht="20" customHeight="1">
      <x:c r="A234" s="73" t="n">
        <x:v>37</x:v>
      </x:c>
      <x:c r="B234" s="73" t="n">
        <x:v>5</x:v>
      </x:c>
      <x:c r="C234" s="73" t="str">
        <x:f>INDEX(Drivers!$B$8:$B$13,B234)</x:f>
        <x:v>青锋</x:v>
      </x:c>
      <x:c r="D234" s="83" t="n">
        <x:f>G228</x:f>
        <x:v>117.48829935258733</x:v>
      </x:c>
      <x:c r="E234" s="83" t="str">
        <x:f>IF(A234=0,"GRID",IF(D234&gt;=Control!$B$17,"FINISHED",IF(AND(A234&gt;=INDEX(Drivers!$G$8:$G$13,B234),A234&lt;INDEX(Drivers!$G$8:$G$13,B234)+INDEX(Drivers!$J$8:$J$13,B234)),"PIT",IF(MOD(A234+INDEX(Drivers!$F$8:$F$13,B234),Control!$B$11)&lt;Control!$B$13,"BOOST","RACE"))))</x:f>
        <x:v>RACE</x:v>
      </x:c>
      <x:c r="F234" s="83" t="n">
        <x:f>IF(OR(E234="GRID",E234="FINISHED",E234="PIT"),0,MAX(Control!$B$15,(INDEX(Drivers!$D$8:$D$13,B234)+INDEX(Drivers!$E$8:$E$13,B234)*SIN((A234+INDEX(Drivers!$F$8:$F$13,B234)+Control!$B$16)*Control!$B$14))*INDEX(TrackMap!$M$8:$M$141,MOD(INT(D234)-1,Control!$B$7)+1)*IF(E234="BOOST",Control!$B$12,1)))</x:f>
        <x:v>4.148713676579725</x:v>
      </x:c>
      <x:c r="G234" s="83" t="n">
        <x:f>IF(A234=0,D234,MIN(Control!$B$17,D234+F234))</x:f>
        <x:v>121.63701302916706</x:v>
      </x:c>
      <x:c r="H234" s="73" t="n">
        <x:f>MOD(INT(G234)-1,Control!$B$7)+1</x:f>
        <x:v>121</x:v>
      </x:c>
      <x:c r="I234" s="73" t="n">
        <x:f>MIN(Control!$B$6,MAX(1,INT(MAX(0,G234)/Control!$B$7)+1))</x:f>
        <x:v>1</x:v>
      </x:c>
      <x:c r="J234" s="73" t="n">
        <x:f>INDEX(Drivers!$H$8:$H$13,B234)</x:f>
        <x:v>1</x:v>
      </x:c>
      <x:c r="K234" s="73" t="n">
        <x:f>IF(J234=1,INDEX(TrackMap!$I$8:$I$141,H234),INDEX(TrackMap!$L$8:$L$141,H234))</x:f>
        <x:v>3130</x:v>
      </x:c>
      <x:c r="L234" s="73" t="str">
        <x:f>INDEX(TrackMap!$F$8:$F$141,H234)</x:f>
        <x:v>←</x:v>
      </x:c>
      <x:c r="M234" s="87" t="n">
        <x:f>MAX(0,G234/Control!$B$17)</x:f>
        <x:v>0.18154778064054786</x:v>
      </x:c>
      <x:c r="N234" s="73" t="n">
        <x:f>IF(N228&gt;0,N228,IF(G234&gt;=Control!$B$17,A234,0))</x:f>
        <x:v>0</x:v>
      </x:c>
      <x:c r="O234" s="91" t="n">
        <x:f>IF(N234&gt;0,Control!$B$17+Control!$B$8+1-N234,G234)-B234/100000</x:f>
        <x:v>121.63696302916706</x:v>
      </x:c>
      <x:c r="P234" s="73" t="n">
        <x:f>COUNTIF($O$230:$O$235,"&gt;"&amp;O234)+1</x:f>
        <x:v>5</x:v>
      </x:c>
      <x:c r="Q234" s="83" t="n">
        <x:f>MAX($G$230:$G$235)-G234</x:f>
        <x:v>7.041211417107746</x:v>
      </x:c>
      <x:c r="R234" s="73" t="str">
        <x:f>INDEX(TrackMap!$B$8:$B$141,H234)</x:f>
        <x:v>发车大直道</x:v>
      </x:c>
    </x:row>
    <x:row r="235" ht="20" customHeight="1">
      <x:c r="A235" s="73" t="n">
        <x:v>37</x:v>
      </x:c>
      <x:c r="B235" s="73" t="n">
        <x:v>6</x:v>
      </x:c>
      <x:c r="C235" s="73" t="str">
        <x:f>INDEX(Drivers!$B$8:$B$13,B235)</x:f>
        <x:v>玫速</x:v>
      </x:c>
      <x:c r="D235" s="83" t="n">
        <x:f>G229</x:f>
        <x:v>116.10749921437954</x:v>
      </x:c>
      <x:c r="E235" s="83" t="str">
        <x:f>IF(A235=0,"GRID",IF(D235&gt;=Control!$B$17,"FINISHED",IF(AND(A235&gt;=INDEX(Drivers!$G$8:$G$13,B235),A235&lt;INDEX(Drivers!$G$8:$G$13,B235)+INDEX(Drivers!$J$8:$J$13,B235)),"PIT",IF(MOD(A235+INDEX(Drivers!$F$8:$F$13,B235),Control!$B$11)&lt;Control!$B$13,"BOOST","RACE"))))</x:f>
        <x:v>RACE</x:v>
      </x:c>
      <x:c r="F235" s="83" t="n">
        <x:f>IF(OR(E235="GRID",E235="FINISHED",E235="PIT"),0,MAX(Control!$B$15,(INDEX(Drivers!$D$8:$D$13,B235)+INDEX(Drivers!$E$8:$E$13,B235)*SIN((A235+INDEX(Drivers!$F$8:$F$13,B235)+Control!$B$16)*Control!$B$14))*INDEX(TrackMap!$M$8:$M$141,MOD(INT(D235)-1,Control!$B$7)+1)*IF(E235="BOOST",Control!$B$12,1)))</x:f>
        <x:v>3.1923518829991346</x:v>
      </x:c>
      <x:c r="G235" s="83" t="n">
        <x:f>IF(A235=0,D235,MIN(Control!$B$17,D235+F235))</x:f>
        <x:v>119.29985109737868</x:v>
      </x:c>
      <x:c r="H235" s="73" t="n">
        <x:f>MOD(INT(G235)-1,Control!$B$7)+1</x:f>
        <x:v>119</x:v>
      </x:c>
      <x:c r="I235" s="73" t="n">
        <x:f>MIN(Control!$B$6,MAX(1,INT(MAX(0,G235)/Control!$B$7)+1))</x:f>
        <x:v>1</x:v>
      </x:c>
      <x:c r="J235" s="73" t="n">
        <x:f>INDEX(Drivers!$H$8:$H$13,B235)</x:f>
        <x:v>2</x:v>
      </x:c>
      <x:c r="K235" s="73" t="n">
        <x:f>IF(J235=1,INDEX(TrackMap!$I$8:$I$141,H235),INDEX(TrackMap!$L$8:$L$141,H235))</x:f>
        <x:v>3032</x:v>
      </x:c>
      <x:c r="L235" s="73" t="str">
        <x:f>INDEX(TrackMap!$F$8:$F$141,H235)</x:f>
        <x:v>←</x:v>
      </x:c>
      <x:c r="M235" s="87" t="n">
        <x:f>MAX(0,G235/Control!$B$17)</x:f>
        <x:v>0.17805947924981894</x:v>
      </x:c>
      <x:c r="N235" s="73" t="n">
        <x:f>IF(N229&gt;0,N229,IF(G235&gt;=Control!$B$17,A235,0))</x:f>
        <x:v>0</x:v>
      </x:c>
      <x:c r="O235" s="91" t="n">
        <x:f>IF(N235&gt;0,Control!$B$17+Control!$B$8+1-N235,G235)-B235/100000</x:f>
        <x:v>119.29979109737867</x:v>
      </x:c>
      <x:c r="P235" s="73" t="n">
        <x:f>COUNTIF($O$230:$O$235,"&gt;"&amp;O235)+1</x:f>
        <x:v>6</x:v>
      </x:c>
      <x:c r="Q235" s="83" t="n">
        <x:f>MAX($G$230:$G$235)-G235</x:f>
        <x:v>9.378373348896133</x:v>
      </x:c>
      <x:c r="R235" s="73" t="str">
        <x:f>INDEX(TrackMap!$B$8:$B$141,H235)</x:f>
        <x:v>发车大直道</x:v>
      </x:c>
    </x:row>
    <x:row r="236" ht="20" customHeight="1">
      <x:c r="A236" s="73" t="n">
        <x:v>38</x:v>
      </x:c>
      <x:c r="B236" s="73" t="n">
        <x:v>1</x:v>
      </x:c>
      <x:c r="C236" s="73" t="str">
        <x:f>INDEX(Drivers!$B$8:$B$13,B236)</x:f>
        <x:v>赤焰</x:v>
      </x:c>
      <x:c r="D236" s="83" t="n">
        <x:f>G230</x:f>
        <x:v>128.6782244462748</x:v>
      </x:c>
      <x:c r="E236" s="83" t="str">
        <x:f>IF(A236=0,"GRID",IF(D236&gt;=Control!$B$17,"FINISHED",IF(AND(A236&gt;=INDEX(Drivers!$G$8:$G$13,B236),A236&lt;INDEX(Drivers!$G$8:$G$13,B236)+INDEX(Drivers!$J$8:$J$13,B236)),"PIT",IF(MOD(A236+INDEX(Drivers!$F$8:$F$13,B236),Control!$B$11)&lt;Control!$B$13,"BOOST","RACE"))))</x:f>
        <x:v>RACE</x:v>
      </x:c>
      <x:c r="F236" s="83" t="n">
        <x:f>IF(OR(E236="GRID",E236="FINISHED",E236="PIT"),0,MAX(Control!$B$15,(INDEX(Drivers!$D$8:$D$13,B236)+INDEX(Drivers!$E$8:$E$13,B236)*SIN((A236+INDEX(Drivers!$F$8:$F$13,B236)+Control!$B$16)*Control!$B$14))*INDEX(TrackMap!$M$8:$M$141,MOD(INT(D236)-1,Control!$B$7)+1)*IF(E236="BOOST",Control!$B$12,1)))</x:f>
        <x:v>3.8593295103977505</x:v>
      </x:c>
      <x:c r="G236" s="83" t="n">
        <x:f>IF(A236=0,D236,MIN(Control!$B$17,D236+F236))</x:f>
        <x:v>132.53755395667255</x:v>
      </x:c>
      <x:c r="H236" s="73" t="n">
        <x:f>MOD(INT(G236)-1,Control!$B$7)+1</x:f>
        <x:v>132</x:v>
      </x:c>
      <x:c r="I236" s="73" t="n">
        <x:f>MIN(Control!$B$6,MAX(1,INT(MAX(0,G236)/Control!$B$7)+1))</x:f>
        <x:v>1</x:v>
      </x:c>
      <x:c r="J236" s="73" t="n">
        <x:f>INDEX(Drivers!$H$8:$H$13,B236)</x:f>
        <x:v>1</x:v>
      </x:c>
      <x:c r="K236" s="73" t="n">
        <x:f>IF(J236=1,INDEX(TrackMap!$I$8:$I$141,H236),INDEX(TrackMap!$L$8:$L$141,H236))</x:f>
        <x:v>3119</x:v>
      </x:c>
      <x:c r="L236" s="73" t="str">
        <x:f>INDEX(TrackMap!$F$8:$F$141,H236)</x:f>
        <x:v>←</x:v>
      </x:c>
      <x:c r="M236" s="87" t="n">
        <x:f>MAX(0,G236/Control!$B$17)</x:f>
        <x:v>0.19781724471145157</x:v>
      </x:c>
      <x:c r="N236" s="73" t="n">
        <x:f>IF(N230&gt;0,N230,IF(G236&gt;=Control!$B$17,A236,0))</x:f>
        <x:v>0</x:v>
      </x:c>
      <x:c r="O236" s="91" t="n">
        <x:f>IF(N236&gt;0,Control!$B$17+Control!$B$8+1-N236,G236)-B236/100000</x:f>
        <x:v>132.53754395667255</x:v>
      </x:c>
      <x:c r="P236" s="73" t="n">
        <x:f>COUNTIF($O$236:$O$241,"&gt;"&amp;O236)+1</x:f>
        <x:v>1</x:v>
      </x:c>
      <x:c r="Q236" s="83" t="n">
        <x:f>MAX($G$236:$G$241)-G236</x:f>
        <x:v>0</x:v>
      </x:c>
      <x:c r="R236" s="73" t="str">
        <x:f>INDEX(TrackMap!$B$8:$B$141,H236)</x:f>
        <x:v>发车大直道</x:v>
      </x:c>
    </x:row>
    <x:row r="237" ht="20" customHeight="1">
      <x:c r="A237" s="73" t="n">
        <x:v>38</x:v>
      </x:c>
      <x:c r="B237" s="73" t="n">
        <x:v>2</x:v>
      </x:c>
      <x:c r="C237" s="73" t="str">
        <x:f>INDEX(Drivers!$B$8:$B$13,B237)</x:f>
        <x:v>蓝电</x:v>
      </x:c>
      <x:c r="D237" s="83" t="n">
        <x:f>G231</x:f>
        <x:v>126.38758947691886</x:v>
      </x:c>
      <x:c r="E237" s="83" t="str">
        <x:f>IF(A237=0,"GRID",IF(D237&gt;=Control!$B$17,"FINISHED",IF(AND(A237&gt;=INDEX(Drivers!$G$8:$G$13,B237),A237&lt;INDEX(Drivers!$G$8:$G$13,B237)+INDEX(Drivers!$J$8:$J$13,B237)),"PIT",IF(MOD(A237+INDEX(Drivers!$F$8:$F$13,B237),Control!$B$11)&lt;Control!$B$13,"BOOST","RACE"))))</x:f>
        <x:v>RACE</x:v>
      </x:c>
      <x:c r="F237" s="83" t="n">
        <x:f>IF(OR(E237="GRID",E237="FINISHED",E237="PIT"),0,MAX(Control!$B$15,(INDEX(Drivers!$D$8:$D$13,B237)+INDEX(Drivers!$E$8:$E$13,B237)*SIN((A237+INDEX(Drivers!$F$8:$F$13,B237)+Control!$B$16)*Control!$B$14))*INDEX(TrackMap!$M$8:$M$141,MOD(INT(D237)-1,Control!$B$7)+1)*IF(E237="BOOST",Control!$B$12,1)))</x:f>
        <x:v>3.6762712035883562</x:v>
      </x:c>
      <x:c r="G237" s="83" t="n">
        <x:f>IF(A237=0,D237,MIN(Control!$B$17,D237+F237))</x:f>
        <x:v>130.06386068050722</x:v>
      </x:c>
      <x:c r="H237" s="73" t="n">
        <x:f>MOD(INT(G237)-1,Control!$B$7)+1</x:f>
        <x:v>130</x:v>
      </x:c>
      <x:c r="I237" s="73" t="n">
        <x:f>MIN(Control!$B$6,MAX(1,INT(MAX(0,G237)/Control!$B$7)+1))</x:f>
        <x:v>1</x:v>
      </x:c>
      <x:c r="J237" s="73" t="n">
        <x:f>INDEX(Drivers!$H$8:$H$13,B237)</x:f>
        <x:v>2</x:v>
      </x:c>
      <x:c r="K237" s="73" t="n">
        <x:f>IF(J237=1,INDEX(TrackMap!$I$8:$I$141,H237),INDEX(TrackMap!$L$8:$L$141,H237))</x:f>
        <x:v>3021</x:v>
      </x:c>
      <x:c r="L237" s="73" t="str">
        <x:f>INDEX(TrackMap!$F$8:$F$141,H237)</x:f>
        <x:v>←</x:v>
      </x:c>
      <x:c r="M237" s="87" t="n">
        <x:f>MAX(0,G237/Control!$B$17)</x:f>
        <x:v>0.1941251651947869</x:v>
      </x:c>
      <x:c r="N237" s="73" t="n">
        <x:f>IF(N231&gt;0,N231,IF(G237&gt;=Control!$B$17,A237,0))</x:f>
        <x:v>0</x:v>
      </x:c>
      <x:c r="O237" s="91" t="n">
        <x:f>IF(N237&gt;0,Control!$B$17+Control!$B$8+1-N237,G237)-B237/100000</x:f>
        <x:v>130.0638406805072</x:v>
      </x:c>
      <x:c r="P237" s="73" t="n">
        <x:f>COUNTIF($O$236:$O$241,"&gt;"&amp;O237)+1</x:f>
        <x:v>2</x:v>
      </x:c>
      <x:c r="Q237" s="83" t="n">
        <x:f>MAX($G$236:$G$241)-G237</x:f>
        <x:v>2.473693276165335</x:v>
      </x:c>
      <x:c r="R237" s="73" t="str">
        <x:f>INDEX(TrackMap!$B$8:$B$141,H237)</x:f>
        <x:v>发车大直道</x:v>
      </x:c>
    </x:row>
    <x:row r="238" ht="20" customHeight="1">
      <x:c r="A238" s="73" t="n">
        <x:v>38</x:v>
      </x:c>
      <x:c r="B238" s="73" t="n">
        <x:v>3</x:v>
      </x:c>
      <x:c r="C238" s="73" t="str">
        <x:f>INDEX(Drivers!$B$8:$B$13,B238)</x:f>
        <x:v>金翼</x:v>
      </x:c>
      <x:c r="D238" s="83" t="n">
        <x:f>G232</x:f>
        <x:v>123.12237912177767</x:v>
      </x:c>
      <x:c r="E238" s="83" t="str">
        <x:f>IF(A238=0,"GRID",IF(D238&gt;=Control!$B$17,"FINISHED",IF(AND(A238&gt;=INDEX(Drivers!$G$8:$G$13,B238),A238&lt;INDEX(Drivers!$G$8:$G$13,B238)+INDEX(Drivers!$J$8:$J$13,B238)),"PIT",IF(MOD(A238+INDEX(Drivers!$F$8:$F$13,B238),Control!$B$11)&lt;Control!$B$13,"BOOST","RACE"))))</x:f>
        <x:v>RACE</x:v>
      </x:c>
      <x:c r="F238" s="83" t="n">
        <x:f>IF(OR(E238="GRID",E238="FINISHED",E238="PIT"),0,MAX(Control!$B$15,(INDEX(Drivers!$D$8:$D$13,B238)+INDEX(Drivers!$E$8:$E$13,B238)*SIN((A238+INDEX(Drivers!$F$8:$F$13,B238)+Control!$B$16)*Control!$B$14))*INDEX(TrackMap!$M$8:$M$141,MOD(INT(D238)-1,Control!$B$7)+1)*IF(E238="BOOST",Control!$B$12,1)))</x:f>
        <x:v>3.373044918637854</x:v>
      </x:c>
      <x:c r="G238" s="83" t="n">
        <x:f>IF(A238=0,D238,MIN(Control!$B$17,D238+F238))</x:f>
        <x:v>126.49542404041553</x:v>
      </x:c>
      <x:c r="H238" s="73" t="n">
        <x:f>MOD(INT(G238)-1,Control!$B$7)+1</x:f>
        <x:v>126</x:v>
      </x:c>
      <x:c r="I238" s="73" t="n">
        <x:f>MIN(Control!$B$6,MAX(1,INT(MAX(0,G238)/Control!$B$7)+1))</x:f>
        <x:v>1</x:v>
      </x:c>
      <x:c r="J238" s="73" t="n">
        <x:f>INDEX(Drivers!$H$8:$H$13,B238)</x:f>
        <x:v>1</x:v>
      </x:c>
      <x:c r="K238" s="73" t="n">
        <x:f>IF(J238=1,INDEX(TrackMap!$I$8:$I$141,H238),INDEX(TrackMap!$L$8:$L$141,H238))</x:f>
        <x:v>3125</x:v>
      </x:c>
      <x:c r="L238" s="73" t="str">
        <x:f>INDEX(TrackMap!$F$8:$F$141,H238)</x:f>
        <x:v>←</x:v>
      </x:c>
      <x:c r="M238" s="87" t="n">
        <x:f>MAX(0,G238/Control!$B$17)</x:f>
        <x:v>0.18879914035882914</x:v>
      </x:c>
      <x:c r="N238" s="73" t="n">
        <x:f>IF(N232&gt;0,N232,IF(G238&gt;=Control!$B$17,A238,0))</x:f>
        <x:v>0</x:v>
      </x:c>
      <x:c r="O238" s="91" t="n">
        <x:f>IF(N238&gt;0,Control!$B$17+Control!$B$8+1-N238,G238)-B238/100000</x:f>
        <x:v>126.49539404041553</x:v>
      </x:c>
      <x:c r="P238" s="73" t="n">
        <x:f>COUNTIF($O$236:$O$241,"&gt;"&amp;O238)+1</x:f>
        <x:v>4</x:v>
      </x:c>
      <x:c r="Q238" s="83" t="n">
        <x:f>MAX($G$236:$G$241)-G238</x:f>
        <x:v>6.042129916257025</x:v>
      </x:c>
      <x:c r="R238" s="73" t="str">
        <x:f>INDEX(TrackMap!$B$8:$B$141,H238)</x:f>
        <x:v>发车大直道</x:v>
      </x:c>
    </x:row>
    <x:row r="239" ht="20" customHeight="1">
      <x:c r="A239" s="73" t="n">
        <x:v>38</x:v>
      </x:c>
      <x:c r="B239" s="73" t="n">
        <x:v>4</x:v>
      </x:c>
      <x:c r="C239" s="73" t="str">
        <x:f>INDEX(Drivers!$B$8:$B$13,B239)</x:f>
        <x:v>紫影</x:v>
      </x:c>
      <x:c r="D239" s="83" t="n">
        <x:f>G233</x:f>
        <x:v>122.9781177404789</x:v>
      </x:c>
      <x:c r="E239" s="83" t="str">
        <x:f>IF(A239=0,"GRID",IF(D239&gt;=Control!$B$17,"FINISHED",IF(AND(A239&gt;=INDEX(Drivers!$G$8:$G$13,B239),A239&lt;INDEX(Drivers!$G$8:$G$13,B239)+INDEX(Drivers!$J$8:$J$13,B239)),"PIT",IF(MOD(A239+INDEX(Drivers!$F$8:$F$13,B239),Control!$B$11)&lt;Control!$B$13,"BOOST","RACE"))))</x:f>
        <x:v>BOOST</x:v>
      </x:c>
      <x:c r="F239" s="83" t="n">
        <x:f>IF(OR(E239="GRID",E239="FINISHED",E239="PIT"),0,MAX(Control!$B$15,(INDEX(Drivers!$D$8:$D$13,B239)+INDEX(Drivers!$E$8:$E$13,B239)*SIN((A239+INDEX(Drivers!$F$8:$F$13,B239)+Control!$B$16)*Control!$B$14))*INDEX(TrackMap!$M$8:$M$141,MOD(INT(D239)-1,Control!$B$7)+1)*IF(E239="BOOST",Control!$B$12,1)))</x:f>
        <x:v>5.6065175013866835</x:v>
      </x:c>
      <x:c r="G239" s="83" t="n">
        <x:f>IF(A239=0,D239,MIN(Control!$B$17,D239+F239))</x:f>
        <x:v>128.58463524186558</x:v>
      </x:c>
      <x:c r="H239" s="73" t="n">
        <x:f>MOD(INT(G239)-1,Control!$B$7)+1</x:f>
        <x:v>128</x:v>
      </x:c>
      <x:c r="I239" s="73" t="n">
        <x:f>MIN(Control!$B$6,MAX(1,INT(MAX(0,G239)/Control!$B$7)+1))</x:f>
        <x:v>1</x:v>
      </x:c>
      <x:c r="J239" s="73" t="n">
        <x:f>INDEX(Drivers!$H$8:$H$13,B239)</x:f>
        <x:v>2</x:v>
      </x:c>
      <x:c r="K239" s="73" t="n">
        <x:f>IF(J239=1,INDEX(TrackMap!$I$8:$I$141,H239),INDEX(TrackMap!$L$8:$L$141,H239))</x:f>
        <x:v>3023</x:v>
      </x:c>
      <x:c r="L239" s="73" t="str">
        <x:f>INDEX(TrackMap!$F$8:$F$141,H239)</x:f>
        <x:v>←</x:v>
      </x:c>
      <x:c r="M239" s="87" t="n">
        <x:f>MAX(0,G239/Control!$B$17)</x:f>
        <x:v>0.1919173660326352</x:v>
      </x:c>
      <x:c r="N239" s="73" t="n">
        <x:f>IF(N233&gt;0,N233,IF(G239&gt;=Control!$B$17,A239,0))</x:f>
        <x:v>0</x:v>
      </x:c>
      <x:c r="O239" s="91" t="n">
        <x:f>IF(N239&gt;0,Control!$B$17+Control!$B$8+1-N239,G239)-B239/100000</x:f>
        <x:v>128.58459524186557</x:v>
      </x:c>
      <x:c r="P239" s="73" t="n">
        <x:f>COUNTIF($O$236:$O$241,"&gt;"&amp;O239)+1</x:f>
        <x:v>3</x:v>
      </x:c>
      <x:c r="Q239" s="83" t="n">
        <x:f>MAX($G$236:$G$241)-G239</x:f>
        <x:v>3.9529187148069695</x:v>
      </x:c>
      <x:c r="R239" s="73" t="str">
        <x:f>INDEX(TrackMap!$B$8:$B$141,H239)</x:f>
        <x:v>发车大直道</x:v>
      </x:c>
    </x:row>
    <x:row r="240" ht="20" customHeight="1">
      <x:c r="A240" s="73" t="n">
        <x:v>38</x:v>
      </x:c>
      <x:c r="B240" s="73" t="n">
        <x:v>5</x:v>
      </x:c>
      <x:c r="C240" s="73" t="str">
        <x:f>INDEX(Drivers!$B$8:$B$13,B240)</x:f>
        <x:v>青锋</x:v>
      </x:c>
      <x:c r="D240" s="83" t="n">
        <x:f>G234</x:f>
        <x:v>121.63701302916706</x:v>
      </x:c>
      <x:c r="E240" s="83" t="str">
        <x:f>IF(A240=0,"GRID",IF(D240&gt;=Control!$B$17,"FINISHED",IF(AND(A240&gt;=INDEX(Drivers!$G$8:$G$13,B240),A240&lt;INDEX(Drivers!$G$8:$G$13,B240)+INDEX(Drivers!$J$8:$J$13,B240)),"PIT",IF(MOD(A240+INDEX(Drivers!$F$8:$F$13,B240),Control!$B$11)&lt;Control!$B$13,"BOOST","RACE"))))</x:f>
        <x:v>RACE</x:v>
      </x:c>
      <x:c r="F240" s="83" t="n">
        <x:f>IF(OR(E240="GRID",E240="FINISHED",E240="PIT"),0,MAX(Control!$B$15,(INDEX(Drivers!$D$8:$D$13,B240)+INDEX(Drivers!$E$8:$E$13,B240)*SIN((A240+INDEX(Drivers!$F$8:$F$13,B240)+Control!$B$16)*Control!$B$14))*INDEX(TrackMap!$M$8:$M$141,MOD(INT(D240)-1,Control!$B$7)+1)*IF(E240="BOOST",Control!$B$12,1)))</x:f>
        <x:v>4.126829073704739</x:v>
      </x:c>
      <x:c r="G240" s="83" t="n">
        <x:f>IF(A240=0,D240,MIN(Control!$B$17,D240+F240))</x:f>
        <x:v>125.7638421028718</x:v>
      </x:c>
      <x:c r="H240" s="73" t="n">
        <x:f>MOD(INT(G240)-1,Control!$B$7)+1</x:f>
        <x:v>125</x:v>
      </x:c>
      <x:c r="I240" s="73" t="n">
        <x:f>MIN(Control!$B$6,MAX(1,INT(MAX(0,G240)/Control!$B$7)+1))</x:f>
        <x:v>1</x:v>
      </x:c>
      <x:c r="J240" s="73" t="n">
        <x:f>INDEX(Drivers!$H$8:$H$13,B240)</x:f>
        <x:v>1</x:v>
      </x:c>
      <x:c r="K240" s="73" t="n">
        <x:f>IF(J240=1,INDEX(TrackMap!$I$8:$I$141,H240),INDEX(TrackMap!$L$8:$L$141,H240))</x:f>
        <x:v>3126</x:v>
      </x:c>
      <x:c r="L240" s="73" t="str">
        <x:f>INDEX(TrackMap!$F$8:$F$141,H240)</x:f>
        <x:v>←</x:v>
      </x:c>
      <x:c r="M240" s="87" t="n">
        <x:f>MAX(0,G240/Control!$B$17)</x:f>
        <x:v>0.18770722701921164</x:v>
      </x:c>
      <x:c r="N240" s="73" t="n">
        <x:f>IF(N234&gt;0,N234,IF(G240&gt;=Control!$B$17,A240,0))</x:f>
        <x:v>0</x:v>
      </x:c>
      <x:c r="O240" s="91" t="n">
        <x:f>IF(N240&gt;0,Control!$B$17+Control!$B$8+1-N240,G240)-B240/100000</x:f>
        <x:v>125.7637921028718</x:v>
      </x:c>
      <x:c r="P240" s="73" t="n">
        <x:f>COUNTIF($O$236:$O$241,"&gt;"&amp;O240)+1</x:f>
        <x:v>5</x:v>
      </x:c>
      <x:c r="Q240" s="83" t="n">
        <x:f>MAX($G$236:$G$241)-G240</x:f>
        <x:v>6.773711853800748</x:v>
      </x:c>
      <x:c r="R240" s="73" t="str">
        <x:f>INDEX(TrackMap!$B$8:$B$141,H240)</x:f>
        <x:v>发车大直道</x:v>
      </x:c>
    </x:row>
    <x:row r="241" ht="20" customHeight="1">
      <x:c r="A241" s="73" t="n">
        <x:v>38</x:v>
      </x:c>
      <x:c r="B241" s="73" t="n">
        <x:v>6</x:v>
      </x:c>
      <x:c r="C241" s="73" t="str">
        <x:f>INDEX(Drivers!$B$8:$B$13,B241)</x:f>
        <x:v>玫速</x:v>
      </x:c>
      <x:c r="D241" s="83" t="n">
        <x:f>G235</x:f>
        <x:v>119.29985109737868</x:v>
      </x:c>
      <x:c r="E241" s="83" t="str">
        <x:f>IF(A241=0,"GRID",IF(D241&gt;=Control!$B$17,"FINISHED",IF(AND(A241&gt;=INDEX(Drivers!$G$8:$G$13,B241),A241&lt;INDEX(Drivers!$G$8:$G$13,B241)+INDEX(Drivers!$J$8:$J$13,B241)),"PIT",IF(MOD(A241+INDEX(Drivers!$F$8:$F$13,B241),Control!$B$11)&lt;Control!$B$13,"BOOST","RACE"))))</x:f>
        <x:v>RACE</x:v>
      </x:c>
      <x:c r="F241" s="83" t="n">
        <x:f>IF(OR(E241="GRID",E241="FINISHED",E241="PIT"),0,MAX(Control!$B$15,(INDEX(Drivers!$D$8:$D$13,B241)+INDEX(Drivers!$E$8:$E$13,B241)*SIN((A241+INDEX(Drivers!$F$8:$F$13,B241)+Control!$B$16)*Control!$B$14))*INDEX(TrackMap!$M$8:$M$141,MOD(INT(D241)-1,Control!$B$7)+1)*IF(E241="BOOST",Control!$B$12,1)))</x:f>
        <x:v>3.098942352168069</x:v>
      </x:c>
      <x:c r="G241" s="83" t="n">
        <x:f>IF(A241=0,D241,MIN(Control!$B$17,D241+F241))</x:f>
        <x:v>122.39879344954674</x:v>
      </x:c>
      <x:c r="H241" s="73" t="n">
        <x:f>MOD(INT(G241)-1,Control!$B$7)+1</x:f>
        <x:v>122</x:v>
      </x:c>
      <x:c r="I241" s="73" t="n">
        <x:f>MIN(Control!$B$6,MAX(1,INT(MAX(0,G241)/Control!$B$7)+1))</x:f>
        <x:v>1</x:v>
      </x:c>
      <x:c r="J241" s="73" t="n">
        <x:f>INDEX(Drivers!$H$8:$H$13,B241)</x:f>
        <x:v>2</x:v>
      </x:c>
      <x:c r="K241" s="73" t="n">
        <x:f>IF(J241=1,INDEX(TrackMap!$I$8:$I$141,H241),INDEX(TrackMap!$L$8:$L$141,H241))</x:f>
        <x:v>3029</x:v>
      </x:c>
      <x:c r="L241" s="73" t="str">
        <x:f>INDEX(TrackMap!$F$8:$F$141,H241)</x:f>
        <x:v>←</x:v>
      </x:c>
      <x:c r="M241" s="87" t="n">
        <x:f>MAX(0,G241/Control!$B$17)</x:f>
        <x:v>0.18268476634260708</x:v>
      </x:c>
      <x:c r="N241" s="73" t="n">
        <x:f>IF(N235&gt;0,N235,IF(G241&gt;=Control!$B$17,A241,0))</x:f>
        <x:v>0</x:v>
      </x:c>
      <x:c r="O241" s="91" t="n">
        <x:f>IF(N241&gt;0,Control!$B$17+Control!$B$8+1-N241,G241)-B241/100000</x:f>
        <x:v>122.39873344954674</x:v>
      </x:c>
      <x:c r="P241" s="73" t="n">
        <x:f>COUNTIF($O$236:$O$241,"&gt;"&amp;O241)+1</x:f>
        <x:v>6</x:v>
      </x:c>
      <x:c r="Q241" s="83" t="n">
        <x:f>MAX($G$236:$G$241)-G241</x:f>
        <x:v>10.13876050712581</x:v>
      </x:c>
      <x:c r="R241" s="73" t="str">
        <x:f>INDEX(TrackMap!$B$8:$B$141,H241)</x:f>
        <x:v>发车大直道</x:v>
      </x:c>
    </x:row>
    <x:row r="242" ht="20" customHeight="1">
      <x:c r="A242" s="73" t="n">
        <x:v>39</x:v>
      </x:c>
      <x:c r="B242" s="73" t="n">
        <x:v>1</x:v>
      </x:c>
      <x:c r="C242" s="73" t="str">
        <x:f>INDEX(Drivers!$B$8:$B$13,B242)</x:f>
        <x:v>赤焰</x:v>
      </x:c>
      <x:c r="D242" s="83" t="n">
        <x:f>G236</x:f>
        <x:v>132.53755395667255</x:v>
      </x:c>
      <x:c r="E242" s="83" t="str">
        <x:f>IF(A242=0,"GRID",IF(D242&gt;=Control!$B$17,"FINISHED",IF(AND(A242&gt;=INDEX(Drivers!$G$8:$G$13,B242),A242&lt;INDEX(Drivers!$G$8:$G$13,B242)+INDEX(Drivers!$J$8:$J$13,B242)),"PIT",IF(MOD(A242+INDEX(Drivers!$F$8:$F$13,B242),Control!$B$11)&lt;Control!$B$13,"BOOST","RACE"))))</x:f>
        <x:v>RACE</x:v>
      </x:c>
      <x:c r="F242" s="83" t="n">
        <x:f>IF(OR(E242="GRID",E242="FINISHED",E242="PIT"),0,MAX(Control!$B$15,(INDEX(Drivers!$D$8:$D$13,B242)+INDEX(Drivers!$E$8:$E$13,B242)*SIN((A242+INDEX(Drivers!$F$8:$F$13,B242)+Control!$B$16)*Control!$B$14))*INDEX(TrackMap!$M$8:$M$141,MOD(INT(D242)-1,Control!$B$7)+1)*IF(E242="BOOST",Control!$B$12,1)))</x:f>
        <x:v>4.029083793676865</x:v>
      </x:c>
      <x:c r="G242" s="83" t="n">
        <x:f>IF(A242=0,D242,MIN(Control!$B$17,D242+F242))</x:f>
        <x:v>136.56663775034943</x:v>
      </x:c>
      <x:c r="H242" s="73" t="n">
        <x:f>MOD(INT(G242)-1,Control!$B$7)+1</x:f>
        <x:v>2</x:v>
      </x:c>
      <x:c r="I242" s="73" t="n">
        <x:f>MIN(Control!$B$6,MAX(1,INT(MAX(0,G242)/Control!$B$7)+1))</x:f>
        <x:v>2</x:v>
      </x:c>
      <x:c r="J242" s="73" t="n">
        <x:f>INDEX(Drivers!$H$8:$H$13,B242)</x:f>
        <x:v>1</x:v>
      </x:c>
      <x:c r="K242" s="73" t="n">
        <x:f>IF(J242=1,INDEX(TrackMap!$I$8:$I$141,H242),INDEX(TrackMap!$L$8:$L$141,H242))</x:f>
        <x:v>3115</x:v>
      </x:c>
      <x:c r="L242" s="73" t="str">
        <x:f>INDEX(TrackMap!$F$8:$F$141,H242)</x:f>
        <x:v>←</x:v>
      </x:c>
      <x:c r="M242" s="87" t="n">
        <x:f>MAX(0,G242/Control!$B$17)</x:f>
        <x:v>0.20383080261246184</x:v>
      </x:c>
      <x:c r="N242" s="73" t="n">
        <x:f>IF(N236&gt;0,N236,IF(G242&gt;=Control!$B$17,A242,0))</x:f>
        <x:v>0</x:v>
      </x:c>
      <x:c r="O242" s="91" t="n">
        <x:f>IF(N242&gt;0,Control!$B$17+Control!$B$8+1-N242,G242)-B242/100000</x:f>
        <x:v>136.56662775034943</x:v>
      </x:c>
      <x:c r="P242" s="73" t="n">
        <x:f>COUNTIF($O$242:$O$247,"&gt;"&amp;O242)+1</x:f>
        <x:v>1</x:v>
      </x:c>
      <x:c r="Q242" s="83" t="n">
        <x:f>MAX($G$242:$G$247)-G242</x:f>
        <x:v>0</x:v>
      </x:c>
      <x:c r="R242" s="73" t="str">
        <x:f>INDEX(TrackMap!$B$8:$B$141,H242)</x:f>
        <x:v>发车大直道</x:v>
      </x:c>
    </x:row>
    <x:row r="243" ht="20" customHeight="1">
      <x:c r="A243" s="73" t="n">
        <x:v>39</x:v>
      </x:c>
      <x:c r="B243" s="73" t="n">
        <x:v>2</x:v>
      </x:c>
      <x:c r="C243" s="73" t="str">
        <x:f>INDEX(Drivers!$B$8:$B$13,B243)</x:f>
        <x:v>蓝电</x:v>
      </x:c>
      <x:c r="D243" s="83" t="n">
        <x:f>G237</x:f>
        <x:v>130.06386068050722</x:v>
      </x:c>
      <x:c r="E243" s="83" t="str">
        <x:f>IF(A243=0,"GRID",IF(D243&gt;=Control!$B$17,"FINISHED",IF(AND(A243&gt;=INDEX(Drivers!$G$8:$G$13,B243),A243&lt;INDEX(Drivers!$G$8:$G$13,B243)+INDEX(Drivers!$J$8:$J$13,B243)),"PIT",IF(MOD(A243+INDEX(Drivers!$F$8:$F$13,B243),Control!$B$11)&lt;Control!$B$13,"BOOST","RACE"))))</x:f>
        <x:v>RACE</x:v>
      </x:c>
      <x:c r="F243" s="83" t="n">
        <x:f>IF(OR(E243="GRID",E243="FINISHED",E243="PIT"),0,MAX(Control!$B$15,(INDEX(Drivers!$D$8:$D$13,B243)+INDEX(Drivers!$E$8:$E$13,B243)*SIN((A243+INDEX(Drivers!$F$8:$F$13,B243)+Control!$B$16)*Control!$B$14))*INDEX(TrackMap!$M$8:$M$141,MOD(INT(D243)-1,Control!$B$7)+1)*IF(E243="BOOST",Control!$B$12,1)))</x:f>
        <x:v>3.455598147635945</x:v>
      </x:c>
      <x:c r="G243" s="83" t="n">
        <x:f>IF(A243=0,D243,MIN(Control!$B$17,D243+F243))</x:f>
        <x:v>133.51945882814317</x:v>
      </x:c>
      <x:c r="H243" s="73" t="n">
        <x:f>MOD(INT(G243)-1,Control!$B$7)+1</x:f>
        <x:v>133</x:v>
      </x:c>
      <x:c r="I243" s="73" t="n">
        <x:f>MIN(Control!$B$6,MAX(1,INT(MAX(0,G243)/Control!$B$7)+1))</x:f>
        <x:v>1</x:v>
      </x:c>
      <x:c r="J243" s="73" t="n">
        <x:f>INDEX(Drivers!$H$8:$H$13,B243)</x:f>
        <x:v>2</x:v>
      </x:c>
      <x:c r="K243" s="73" t="n">
        <x:f>IF(J243=1,INDEX(TrackMap!$I$8:$I$141,H243),INDEX(TrackMap!$L$8:$L$141,H243))</x:f>
        <x:v>3018</x:v>
      </x:c>
      <x:c r="L243" s="73" t="str">
        <x:f>INDEX(TrackMap!$F$8:$F$141,H243)</x:f>
        <x:v>←</x:v>
      </x:c>
      <x:c r="M243" s="87" t="n">
        <x:f>MAX(0,G243/Control!$B$17)</x:f>
        <x:v>0.19928277437036293</x:v>
      </x:c>
      <x:c r="N243" s="73" t="n">
        <x:f>IF(N237&gt;0,N237,IF(G243&gt;=Control!$B$17,A243,0))</x:f>
        <x:v>0</x:v>
      </x:c>
      <x:c r="O243" s="91" t="n">
        <x:f>IF(N243&gt;0,Control!$B$17+Control!$B$8+1-N243,G243)-B243/100000</x:f>
        <x:v>133.51943882814317</x:v>
      </x:c>
      <x:c r="P243" s="73" t="n">
        <x:f>COUNTIF($O$242:$O$247,"&gt;"&amp;O243)+1</x:f>
        <x:v>3</x:v>
      </x:c>
      <x:c r="Q243" s="83" t="n">
        <x:f>MAX($G$242:$G$247)-G243</x:f>
        <x:v>3.047178922206257</x:v>
      </x:c>
      <x:c r="R243" s="73" t="str">
        <x:f>INDEX(TrackMap!$B$8:$B$141,H243)</x:f>
        <x:v>发车大直道</x:v>
      </x:c>
    </x:row>
    <x:row r="244" ht="20" customHeight="1">
      <x:c r="A244" s="73" t="n">
        <x:v>39</x:v>
      </x:c>
      <x:c r="B244" s="73" t="n">
        <x:v>3</x:v>
      </x:c>
      <x:c r="C244" s="73" t="str">
        <x:f>INDEX(Drivers!$B$8:$B$13,B244)</x:f>
        <x:v>金翼</x:v>
      </x:c>
      <x:c r="D244" s="83" t="n">
        <x:f>G238</x:f>
        <x:v>126.49542404041553</x:v>
      </x:c>
      <x:c r="E244" s="83" t="str">
        <x:f>IF(A244=0,"GRID",IF(D244&gt;=Control!$B$17,"FINISHED",IF(AND(A244&gt;=INDEX(Drivers!$G$8:$G$13,B244),A244&lt;INDEX(Drivers!$G$8:$G$13,B244)+INDEX(Drivers!$J$8:$J$13,B244)),"PIT",IF(MOD(A244+INDEX(Drivers!$F$8:$F$13,B244),Control!$B$11)&lt;Control!$B$13,"BOOST","RACE"))))</x:f>
        <x:v>RACE</x:v>
      </x:c>
      <x:c r="F244" s="83" t="n">
        <x:f>IF(OR(E244="GRID",E244="FINISHED",E244="PIT"),0,MAX(Control!$B$15,(INDEX(Drivers!$D$8:$D$13,B244)+INDEX(Drivers!$E$8:$E$13,B244)*SIN((A244+INDEX(Drivers!$F$8:$F$13,B244)+Control!$B$16)*Control!$B$14))*INDEX(TrackMap!$M$8:$M$141,MOD(INT(D244)-1,Control!$B$7)+1)*IF(E244="BOOST",Control!$B$12,1)))</x:f>
        <x:v>3.5319649289491504</x:v>
      </x:c>
      <x:c r="G244" s="83" t="n">
        <x:f>IF(A244=0,D244,MIN(Control!$B$17,D244+F244))</x:f>
        <x:v>130.02738896936467</x:v>
      </x:c>
      <x:c r="H244" s="73" t="n">
        <x:f>MOD(INT(G244)-1,Control!$B$7)+1</x:f>
        <x:v>130</x:v>
      </x:c>
      <x:c r="I244" s="73" t="n">
        <x:f>MIN(Control!$B$6,MAX(1,INT(MAX(0,G244)/Control!$B$7)+1))</x:f>
        <x:v>1</x:v>
      </x:c>
      <x:c r="J244" s="73" t="n">
        <x:f>INDEX(Drivers!$H$8:$H$13,B244)</x:f>
        <x:v>1</x:v>
      </x:c>
      <x:c r="K244" s="73" t="n">
        <x:f>IF(J244=1,INDEX(TrackMap!$I$8:$I$141,H244),INDEX(TrackMap!$L$8:$L$141,H244))</x:f>
        <x:v>3121</x:v>
      </x:c>
      <x:c r="L244" s="73" t="str">
        <x:f>INDEX(TrackMap!$F$8:$F$141,H244)</x:f>
        <x:v>←</x:v>
      </x:c>
      <x:c r="M244" s="87" t="n">
        <x:f>MAX(0,G244/Control!$B$17)</x:f>
        <x:v>0.19407072980502188</x:v>
      </x:c>
      <x:c r="N244" s="73" t="n">
        <x:f>IF(N238&gt;0,N238,IF(G244&gt;=Control!$B$17,A244,0))</x:f>
        <x:v>0</x:v>
      </x:c>
      <x:c r="O244" s="91" t="n">
        <x:f>IF(N244&gt;0,Control!$B$17+Control!$B$8+1-N244,G244)-B244/100000</x:f>
        <x:v>130.02735896936466</x:v>
      </x:c>
      <x:c r="P244" s="73" t="n">
        <x:f>COUNTIF($O$242:$O$247,"&gt;"&amp;O244)+1</x:f>
        <x:v>4</x:v>
      </x:c>
      <x:c r="Q244" s="83" t="n">
        <x:f>MAX($G$242:$G$247)-G244</x:f>
        <x:v>6.539248780984764</x:v>
      </x:c>
      <x:c r="R244" s="73" t="str">
        <x:f>INDEX(TrackMap!$B$8:$B$141,H244)</x:f>
        <x:v>发车大直道</x:v>
      </x:c>
    </x:row>
    <x:row r="245" ht="20" customHeight="1">
      <x:c r="A245" s="73" t="n">
        <x:v>39</x:v>
      </x:c>
      <x:c r="B245" s="73" t="n">
        <x:v>4</x:v>
      </x:c>
      <x:c r="C245" s="73" t="str">
        <x:f>INDEX(Drivers!$B$8:$B$13,B245)</x:f>
        <x:v>紫影</x:v>
      </x:c>
      <x:c r="D245" s="83" t="n">
        <x:f>G239</x:f>
        <x:v>128.58463524186558</x:v>
      </x:c>
      <x:c r="E245" s="83" t="str">
        <x:f>IF(A245=0,"GRID",IF(D245&gt;=Control!$B$17,"FINISHED",IF(AND(A245&gt;=INDEX(Drivers!$G$8:$G$13,B245),A245&lt;INDEX(Drivers!$G$8:$G$13,B245)+INDEX(Drivers!$J$8:$J$13,B245)),"PIT",IF(MOD(A245+INDEX(Drivers!$F$8:$F$13,B245),Control!$B$11)&lt;Control!$B$13,"BOOST","RACE"))))</x:f>
        <x:v>BOOST</x:v>
      </x:c>
      <x:c r="F245" s="83" t="n">
        <x:f>IF(OR(E245="GRID",E245="FINISHED",E245="PIT"),0,MAX(Control!$B$15,(INDEX(Drivers!$D$8:$D$13,B245)+INDEX(Drivers!$E$8:$E$13,B245)*SIN((A245+INDEX(Drivers!$F$8:$F$13,B245)+Control!$B$16)*Control!$B$14))*INDEX(TrackMap!$M$8:$M$141,MOD(INT(D245)-1,Control!$B$7)+1)*IF(E245="BOOST",Control!$B$12,1)))</x:f>
        <x:v>5.470577323103027</x:v>
      </x:c>
      <x:c r="G245" s="83" t="n">
        <x:f>IF(A245=0,D245,MIN(Control!$B$17,D245+F245))</x:f>
        <x:v>134.0552125649686</x:v>
      </x:c>
      <x:c r="H245" s="73" t="n">
        <x:f>MOD(INT(G245)-1,Control!$B$7)+1</x:f>
        <x:v>134</x:v>
      </x:c>
      <x:c r="I245" s="73" t="n">
        <x:f>MIN(Control!$B$6,MAX(1,INT(MAX(0,G245)/Control!$B$7)+1))</x:f>
        <x:v>2</x:v>
      </x:c>
      <x:c r="J245" s="73" t="n">
        <x:f>INDEX(Drivers!$H$8:$H$13,B245)</x:f>
        <x:v>2</x:v>
      </x:c>
      <x:c r="K245" s="73" t="n">
        <x:f>IF(J245=1,INDEX(TrackMap!$I$8:$I$141,H245),INDEX(TrackMap!$L$8:$L$141,H245))</x:f>
        <x:v>3017</x:v>
      </x:c>
      <x:c r="L245" s="73" t="str">
        <x:f>INDEX(TrackMap!$F$8:$F$141,H245)</x:f>
        <x:v>←</x:v>
      </x:c>
      <x:c r="M245" s="87" t="n">
        <x:f>MAX(0,G245/Control!$B$17)</x:f>
        <x:v>0.20008240681338596</x:v>
      </x:c>
      <x:c r="N245" s="73" t="n">
        <x:f>IF(N239&gt;0,N239,IF(G245&gt;=Control!$B$17,A245,0))</x:f>
        <x:v>0</x:v>
      </x:c>
      <x:c r="O245" s="91" t="n">
        <x:f>IF(N245&gt;0,Control!$B$17+Control!$B$8+1-N245,G245)-B245/100000</x:f>
        <x:v>134.0551725649686</x:v>
      </x:c>
      <x:c r="P245" s="73" t="n">
        <x:f>COUNTIF($O$242:$O$247,"&gt;"&amp;O245)+1</x:f>
        <x:v>2</x:v>
      </x:c>
      <x:c r="Q245" s="83" t="n">
        <x:f>MAX($G$242:$G$247)-G245</x:f>
        <x:v>2.51142518538083</x:v>
      </x:c>
      <x:c r="R245" s="73" t="str">
        <x:f>INDEX(TrackMap!$B$8:$B$141,H245)</x:f>
        <x:v>发车大直道</x:v>
      </x:c>
    </x:row>
    <x:row r="246" ht="20" customHeight="1">
      <x:c r="A246" s="73" t="n">
        <x:v>39</x:v>
      </x:c>
      <x:c r="B246" s="73" t="n">
        <x:v>5</x:v>
      </x:c>
      <x:c r="C246" s="73" t="str">
        <x:f>INDEX(Drivers!$B$8:$B$13,B246)</x:f>
        <x:v>青锋</x:v>
      </x:c>
      <x:c r="D246" s="83" t="n">
        <x:f>G240</x:f>
        <x:v>125.7638421028718</x:v>
      </x:c>
      <x:c r="E246" s="83" t="str">
        <x:f>IF(A246=0,"GRID",IF(D246&gt;=Control!$B$17,"FINISHED",IF(AND(A246&gt;=INDEX(Drivers!$G$8:$G$13,B246),A246&lt;INDEX(Drivers!$G$8:$G$13,B246)+INDEX(Drivers!$J$8:$J$13,B246)),"PIT",IF(MOD(A246+INDEX(Drivers!$F$8:$F$13,B246),Control!$B$11)&lt;Control!$B$13,"BOOST","RACE"))))</x:f>
        <x:v>RACE</x:v>
      </x:c>
      <x:c r="F246" s="83" t="n">
        <x:f>IF(OR(E246="GRID",E246="FINISHED",E246="PIT"),0,MAX(Control!$B$15,(INDEX(Drivers!$D$8:$D$13,B246)+INDEX(Drivers!$E$8:$E$13,B246)*SIN((A246+INDEX(Drivers!$F$8:$F$13,B246)+Control!$B$16)*Control!$B$14))*INDEX(TrackMap!$M$8:$M$141,MOD(INT(D246)-1,Control!$B$7)+1)*IF(E246="BOOST",Control!$B$12,1)))</x:f>
        <x:v>4.037700986434364</x:v>
      </x:c>
      <x:c r="G246" s="83" t="n">
        <x:f>IF(A246=0,D246,MIN(Control!$B$17,D246+F246))</x:f>
        <x:v>129.80154308930616</x:v>
      </x:c>
      <x:c r="H246" s="73" t="n">
        <x:f>MOD(INT(G246)-1,Control!$B$7)+1</x:f>
        <x:v>129</x:v>
      </x:c>
      <x:c r="I246" s="73" t="n">
        <x:f>MIN(Control!$B$6,MAX(1,INT(MAX(0,G246)/Control!$B$7)+1))</x:f>
        <x:v>1</x:v>
      </x:c>
      <x:c r="J246" s="73" t="n">
        <x:f>INDEX(Drivers!$H$8:$H$13,B246)</x:f>
        <x:v>1</x:v>
      </x:c>
      <x:c r="K246" s="73" t="n">
        <x:f>IF(J246=1,INDEX(TrackMap!$I$8:$I$141,H246),INDEX(TrackMap!$L$8:$L$141,H246))</x:f>
        <x:v>3122</x:v>
      </x:c>
      <x:c r="L246" s="73" t="str">
        <x:f>INDEX(TrackMap!$F$8:$F$141,H246)</x:f>
        <x:v>←</x:v>
      </x:c>
      <x:c r="M246" s="87" t="n">
        <x:f>MAX(0,G246/Control!$B$17)</x:f>
        <x:v>0.1937336464019495</x:v>
      </x:c>
      <x:c r="N246" s="73" t="n">
        <x:f>IF(N240&gt;0,N240,IF(G246&gt;=Control!$B$17,A246,0))</x:f>
        <x:v>0</x:v>
      </x:c>
      <x:c r="O246" s="91" t="n">
        <x:f>IF(N246&gt;0,Control!$B$17+Control!$B$8+1-N246,G246)-B246/100000</x:f>
        <x:v>129.80149308930618</x:v>
      </x:c>
      <x:c r="P246" s="73" t="n">
        <x:f>COUNTIF($O$242:$O$247,"&gt;"&amp;O246)+1</x:f>
        <x:v>5</x:v>
      </x:c>
      <x:c r="Q246" s="83" t="n">
        <x:f>MAX($G$242:$G$247)-G246</x:f>
        <x:v>6.765094661043264</x:v>
      </x:c>
      <x:c r="R246" s="73" t="str">
        <x:f>INDEX(TrackMap!$B$8:$B$141,H246)</x:f>
        <x:v>发车大直道</x:v>
      </x:c>
    </x:row>
    <x:row r="247" ht="20" customHeight="1">
      <x:c r="A247" s="73" t="n">
        <x:v>39</x:v>
      </x:c>
      <x:c r="B247" s="73" t="n">
        <x:v>6</x:v>
      </x:c>
      <x:c r="C247" s="73" t="str">
        <x:f>INDEX(Drivers!$B$8:$B$13,B247)</x:f>
        <x:v>玫速</x:v>
      </x:c>
      <x:c r="D247" s="83" t="n">
        <x:f>G241</x:f>
        <x:v>122.39879344954674</x:v>
      </x:c>
      <x:c r="E247" s="83" t="str">
        <x:f>IF(A247=0,"GRID",IF(D247&gt;=Control!$B$17,"FINISHED",IF(AND(A247&gt;=INDEX(Drivers!$G$8:$G$13,B247),A247&lt;INDEX(Drivers!$G$8:$G$13,B247)+INDEX(Drivers!$J$8:$J$13,B247)),"PIT",IF(MOD(A247+INDEX(Drivers!$F$8:$F$13,B247),Control!$B$11)&lt;Control!$B$13,"BOOST","RACE"))))</x:f>
        <x:v>RACE</x:v>
      </x:c>
      <x:c r="F247" s="83" t="n">
        <x:f>IF(OR(E247="GRID",E247="FINISHED",E247="PIT"),0,MAX(Control!$B$15,(INDEX(Drivers!$D$8:$D$13,B247)+INDEX(Drivers!$E$8:$E$13,B247)*SIN((A247+INDEX(Drivers!$F$8:$F$13,B247)+Control!$B$16)*Control!$B$14))*INDEX(TrackMap!$M$8:$M$141,MOD(INT(D247)-1,Control!$B$7)+1)*IF(E247="BOOST",Control!$B$12,1)))</x:f>
        <x:v>3.0841762481064037</x:v>
      </x:c>
      <x:c r="G247" s="83" t="n">
        <x:f>IF(A247=0,D247,MIN(Control!$B$17,D247+F247))</x:f>
        <x:v>125.48296969765315</x:v>
      </x:c>
      <x:c r="H247" s="73" t="n">
        <x:f>MOD(INT(G247)-1,Control!$B$7)+1</x:f>
        <x:v>125</x:v>
      </x:c>
      <x:c r="I247" s="73" t="n">
        <x:f>MIN(Control!$B$6,MAX(1,INT(MAX(0,G247)/Control!$B$7)+1))</x:f>
        <x:v>1</x:v>
      </x:c>
      <x:c r="J247" s="73" t="n">
        <x:f>INDEX(Drivers!$H$8:$H$13,B247)</x:f>
        <x:v>2</x:v>
      </x:c>
      <x:c r="K247" s="73" t="n">
        <x:f>IF(J247=1,INDEX(TrackMap!$I$8:$I$141,H247),INDEX(TrackMap!$L$8:$L$141,H247))</x:f>
        <x:v>3026</x:v>
      </x:c>
      <x:c r="L247" s="73" t="str">
        <x:f>INDEX(TrackMap!$F$8:$F$141,H247)</x:f>
        <x:v>←</x:v>
      </x:c>
      <x:c r="M247" s="87" t="n">
        <x:f>MAX(0,G247/Control!$B$17)</x:f>
        <x:v>0.18728801447410917</x:v>
      </x:c>
      <x:c r="N247" s="73" t="n">
        <x:f>IF(N241&gt;0,N241,IF(G247&gt;=Control!$B$17,A247,0))</x:f>
        <x:v>0</x:v>
      </x:c>
      <x:c r="O247" s="91" t="n">
        <x:f>IF(N247&gt;0,Control!$B$17+Control!$B$8+1-N247,G247)-B247/100000</x:f>
        <x:v>125.48290969765314</x:v>
      </x:c>
      <x:c r="P247" s="73" t="n">
        <x:f>COUNTIF($O$242:$O$247,"&gt;"&amp;O247)+1</x:f>
        <x:v>6</x:v>
      </x:c>
      <x:c r="Q247" s="83" t="n">
        <x:f>MAX($G$242:$G$247)-G247</x:f>
        <x:v>11.083668052696282</x:v>
      </x:c>
      <x:c r="R247" s="73" t="str">
        <x:f>INDEX(TrackMap!$B$8:$B$141,H247)</x:f>
        <x:v>发车大直道</x:v>
      </x:c>
    </x:row>
    <x:row r="248" ht="20" customHeight="1">
      <x:c r="A248" s="73" t="n">
        <x:v>40</x:v>
      </x:c>
      <x:c r="B248" s="73" t="n">
        <x:v>1</x:v>
      </x:c>
      <x:c r="C248" s="73" t="str">
        <x:f>INDEX(Drivers!$B$8:$B$13,B248)</x:f>
        <x:v>赤焰</x:v>
      </x:c>
      <x:c r="D248" s="83" t="n">
        <x:f>G242</x:f>
        <x:v>136.56663775034943</x:v>
      </x:c>
      <x:c r="E248" s="83" t="str">
        <x:f>IF(A248=0,"GRID",IF(D248&gt;=Control!$B$17,"FINISHED",IF(AND(A248&gt;=INDEX(Drivers!$G$8:$G$13,B248),A248&lt;INDEX(Drivers!$G$8:$G$13,B248)+INDEX(Drivers!$J$8:$J$13,B248)),"PIT",IF(MOD(A248+INDEX(Drivers!$F$8:$F$13,B248),Control!$B$11)&lt;Control!$B$13,"BOOST","RACE"))))</x:f>
        <x:v>RACE</x:v>
      </x:c>
      <x:c r="F248" s="83" t="n">
        <x:f>IF(OR(E248="GRID",E248="FINISHED",E248="PIT"),0,MAX(Control!$B$15,(INDEX(Drivers!$D$8:$D$13,B248)+INDEX(Drivers!$E$8:$E$13,B248)*SIN((A248+INDEX(Drivers!$F$8:$F$13,B248)+Control!$B$16)*Control!$B$14))*INDEX(TrackMap!$M$8:$M$141,MOD(INT(D248)-1,Control!$B$7)+1)*IF(E248="BOOST",Control!$B$12,1)))</x:f>
        <x:v>4.147530863844283</x:v>
      </x:c>
      <x:c r="G248" s="83" t="n">
        <x:f>IF(A248=0,D248,MIN(Control!$B$17,D248+F248))</x:f>
        <x:v>140.7141686141937</x:v>
      </x:c>
      <x:c r="H248" s="73" t="n">
        <x:f>MOD(INT(G248)-1,Control!$B$7)+1</x:f>
        <x:v>6</x:v>
      </x:c>
      <x:c r="I248" s="73" t="n">
        <x:f>MIN(Control!$B$6,MAX(1,INT(MAX(0,G248)/Control!$B$7)+1))</x:f>
        <x:v>2</x:v>
      </x:c>
      <x:c r="J248" s="73" t="n">
        <x:f>INDEX(Drivers!$H$8:$H$13,B248)</x:f>
        <x:v>1</x:v>
      </x:c>
      <x:c r="K248" s="73" t="n">
        <x:f>IF(J248=1,INDEX(TrackMap!$I$8:$I$141,H248),INDEX(TrackMap!$L$8:$L$141,H248))</x:f>
        <x:v>3111</x:v>
      </x:c>
      <x:c r="L248" s="73" t="str">
        <x:f>INDEX(TrackMap!$F$8:$F$141,H248)</x:f>
        <x:v>←</x:v>
      </x:c>
      <x:c r="M248" s="87" t="n">
        <x:f>MAX(0,G248/Control!$B$17)</x:f>
        <x:v>0.21002114718536374</x:v>
      </x:c>
      <x:c r="N248" s="73" t="n">
        <x:f>IF(N242&gt;0,N242,IF(G248&gt;=Control!$B$17,A248,0))</x:f>
        <x:v>0</x:v>
      </x:c>
      <x:c r="O248" s="91" t="n">
        <x:f>IF(N248&gt;0,Control!$B$17+Control!$B$8+1-N248,G248)-B248/100000</x:f>
        <x:v>140.7141586141937</x:v>
      </x:c>
      <x:c r="P248" s="73" t="n">
        <x:f>COUNTIF($O$248:$O$253,"&gt;"&amp;O248)+1</x:f>
        <x:v>1</x:v>
      </x:c>
      <x:c r="Q248" s="83" t="n">
        <x:f>MAX($G$248:$G$253)-G248</x:f>
        <x:v>0</x:v>
      </x:c>
      <x:c r="R248" s="73" t="str">
        <x:f>INDEX(TrackMap!$B$8:$B$141,H248)</x:f>
        <x:v>发车大直道</x:v>
      </x:c>
    </x:row>
    <x:row r="249" ht="20" customHeight="1">
      <x:c r="A249" s="73" t="n">
        <x:v>40</x:v>
      </x:c>
      <x:c r="B249" s="73" t="n">
        <x:v>2</x:v>
      </x:c>
      <x:c r="C249" s="73" t="str">
        <x:f>INDEX(Drivers!$B$8:$B$13,B249)</x:f>
        <x:v>蓝电</x:v>
      </x:c>
      <x:c r="D249" s="83" t="n">
        <x:f>G243</x:f>
        <x:v>133.51945882814317</x:v>
      </x:c>
      <x:c r="E249" s="83" t="str">
        <x:f>IF(A249=0,"GRID",IF(D249&gt;=Control!$B$17,"FINISHED",IF(AND(A249&gt;=INDEX(Drivers!$G$8:$G$13,B249),A249&lt;INDEX(Drivers!$G$8:$G$13,B249)+INDEX(Drivers!$J$8:$J$13,B249)),"PIT",IF(MOD(A249+INDEX(Drivers!$F$8:$F$13,B249),Control!$B$11)&lt;Control!$B$13,"BOOST","RACE"))))</x:f>
        <x:v>RACE</x:v>
      </x:c>
      <x:c r="F249" s="83" t="n">
        <x:f>IF(OR(E249="GRID",E249="FINISHED",E249="PIT"),0,MAX(Control!$B$15,(INDEX(Drivers!$D$8:$D$13,B249)+INDEX(Drivers!$E$8:$E$13,B249)*SIN((A249+INDEX(Drivers!$F$8:$F$13,B249)+Control!$B$16)*Control!$B$14))*INDEX(TrackMap!$M$8:$M$141,MOD(INT(D249)-1,Control!$B$7)+1)*IF(E249="BOOST",Control!$B$12,1)))</x:f>
        <x:v>2.536374593068319</x:v>
      </x:c>
      <x:c r="G249" s="83" t="n">
        <x:f>IF(A249=0,D249,MIN(Control!$B$17,D249+F249))</x:f>
        <x:v>136.0558334212115</x:v>
      </x:c>
      <x:c r="H249" s="73" t="n">
        <x:f>MOD(INT(G249)-1,Control!$B$7)+1</x:f>
        <x:v>2</x:v>
      </x:c>
      <x:c r="I249" s="73" t="n">
        <x:f>MIN(Control!$B$6,MAX(1,INT(MAX(0,G249)/Control!$B$7)+1))</x:f>
        <x:v>2</x:v>
      </x:c>
      <x:c r="J249" s="73" t="n">
        <x:f>INDEX(Drivers!$H$8:$H$13,B249)</x:f>
        <x:v>2</x:v>
      </x:c>
      <x:c r="K249" s="73" t="n">
        <x:f>IF(J249=1,INDEX(TrackMap!$I$8:$I$141,H249),INDEX(TrackMap!$L$8:$L$141,H249))</x:f>
        <x:v>3015</x:v>
      </x:c>
      <x:c r="L249" s="73" t="str">
        <x:f>INDEX(TrackMap!$F$8:$F$141,H249)</x:f>
        <x:v>←</x:v>
      </x:c>
      <x:c r="M249" s="87" t="n">
        <x:f>MAX(0,G249/Control!$B$17)</x:f>
        <x:v>0.20306840809136045</x:v>
      </x:c>
      <x:c r="N249" s="73" t="n">
        <x:f>IF(N243&gt;0,N243,IF(G249&gt;=Control!$B$17,A249,0))</x:f>
        <x:v>0</x:v>
      </x:c>
      <x:c r="O249" s="91" t="n">
        <x:f>IF(N249&gt;0,Control!$B$17+Control!$B$8+1-N249,G249)-B249/100000</x:f>
        <x:v>136.0558134212115</x:v>
      </x:c>
      <x:c r="P249" s="73" t="n">
        <x:f>COUNTIF($O$248:$O$253,"&gt;"&amp;O249)+1</x:f>
        <x:v>3</x:v>
      </x:c>
      <x:c r="Q249" s="83" t="n">
        <x:f>MAX($G$248:$G$253)-G249</x:f>
        <x:v>4.658335192982207</x:v>
      </x:c>
      <x:c r="R249" s="73" t="str">
        <x:f>INDEX(TrackMap!$B$8:$B$141,H249)</x:f>
        <x:v>发车大直道</x:v>
      </x:c>
    </x:row>
    <x:row r="250" ht="20" customHeight="1">
      <x:c r="A250" s="73" t="n">
        <x:v>40</x:v>
      </x:c>
      <x:c r="B250" s="73" t="n">
        <x:v>3</x:v>
      </x:c>
      <x:c r="C250" s="73" t="str">
        <x:f>INDEX(Drivers!$B$8:$B$13,B250)</x:f>
        <x:v>金翼</x:v>
      </x:c>
      <x:c r="D250" s="83" t="n">
        <x:f>G244</x:f>
        <x:v>130.02738896936467</x:v>
      </x:c>
      <x:c r="E250" s="83" t="str">
        <x:f>IF(A250=0,"GRID",IF(D250&gt;=Control!$B$17,"FINISHED",IF(AND(A250&gt;=INDEX(Drivers!$G$8:$G$13,B250),A250&lt;INDEX(Drivers!$G$8:$G$13,B250)+INDEX(Drivers!$J$8:$J$13,B250)),"PIT",IF(MOD(A250+INDEX(Drivers!$F$8:$F$13,B250),Control!$B$11)&lt;Control!$B$13,"BOOST","RACE"))))</x:f>
        <x:v>RACE</x:v>
      </x:c>
      <x:c r="F250" s="83" t="n">
        <x:f>IF(OR(E250="GRID",E250="FINISHED",E250="PIT"),0,MAX(Control!$B$15,(INDEX(Drivers!$D$8:$D$13,B250)+INDEX(Drivers!$E$8:$E$13,B250)*SIN((A250+INDEX(Drivers!$F$8:$F$13,B250)+Control!$B$16)*Control!$B$14))*INDEX(TrackMap!$M$8:$M$141,MOD(INT(D250)-1,Control!$B$7)+1)*IF(E250="BOOST",Control!$B$12,1)))</x:f>
        <x:v>3.7136276978390264</x:v>
      </x:c>
      <x:c r="G250" s="83" t="n">
        <x:f>IF(A250=0,D250,MIN(Control!$B$17,D250+F250))</x:f>
        <x:v>133.7410166672037</x:v>
      </x:c>
      <x:c r="H250" s="73" t="n">
        <x:f>MOD(INT(G250)-1,Control!$B$7)+1</x:f>
        <x:v>133</x:v>
      </x:c>
      <x:c r="I250" s="73" t="n">
        <x:f>MIN(Control!$B$6,MAX(1,INT(MAX(0,G250)/Control!$B$7)+1))</x:f>
        <x:v>1</x:v>
      </x:c>
      <x:c r="J250" s="73" t="n">
        <x:f>INDEX(Drivers!$H$8:$H$13,B250)</x:f>
        <x:v>1</x:v>
      </x:c>
      <x:c r="K250" s="73" t="n">
        <x:f>IF(J250=1,INDEX(TrackMap!$I$8:$I$141,H250),INDEX(TrackMap!$L$8:$L$141,H250))</x:f>
        <x:v>3118</x:v>
      </x:c>
      <x:c r="L250" s="73" t="str">
        <x:f>INDEX(TrackMap!$F$8:$F$141,H250)</x:f>
        <x:v>←</x:v>
      </x:c>
      <x:c r="M250" s="87" t="n">
        <x:f>MAX(0,G250/Control!$B$17)</x:f>
        <x:v>0.1996134577122443</x:v>
      </x:c>
      <x:c r="N250" s="73" t="n">
        <x:f>IF(N244&gt;0,N244,IF(G250&gt;=Control!$B$17,A250,0))</x:f>
        <x:v>0</x:v>
      </x:c>
      <x:c r="O250" s="91" t="n">
        <x:f>IF(N250&gt;0,Control!$B$17+Control!$B$8+1-N250,G250)-B250/100000</x:f>
        <x:v>133.74098666720369</x:v>
      </x:c>
      <x:c r="P250" s="73" t="n">
        <x:f>COUNTIF($O$248:$O$253,"&gt;"&amp;O250)+1</x:f>
        <x:v>4</x:v>
      </x:c>
      <x:c r="Q250" s="83" t="n">
        <x:f>MAX($G$248:$G$253)-G250</x:f>
        <x:v>6.973151946990015</x:v>
      </x:c>
      <x:c r="R250" s="73" t="str">
        <x:f>INDEX(TrackMap!$B$8:$B$141,H250)</x:f>
        <x:v>发车大直道</x:v>
      </x:c>
    </x:row>
    <x:row r="251" ht="20" customHeight="1">
      <x:c r="A251" s="73" t="n">
        <x:v>40</x:v>
      </x:c>
      <x:c r="B251" s="73" t="n">
        <x:v>4</x:v>
      </x:c>
      <x:c r="C251" s="73" t="str">
        <x:f>INDEX(Drivers!$B$8:$B$13,B251)</x:f>
        <x:v>紫影</x:v>
      </x:c>
      <x:c r="D251" s="83" t="n">
        <x:f>G245</x:f>
        <x:v>134.0552125649686</x:v>
      </x:c>
      <x:c r="E251" s="83" t="str">
        <x:f>IF(A251=0,"GRID",IF(D251&gt;=Control!$B$17,"FINISHED",IF(AND(A251&gt;=INDEX(Drivers!$G$8:$G$13,B251),A251&lt;INDEX(Drivers!$G$8:$G$13,B251)+INDEX(Drivers!$J$8:$J$13,B251)),"PIT",IF(MOD(A251+INDEX(Drivers!$F$8:$F$13,B251),Control!$B$11)&lt;Control!$B$13,"BOOST","RACE"))))</x:f>
        <x:v>BOOST</x:v>
      </x:c>
      <x:c r="F251" s="83" t="n">
        <x:f>IF(OR(E251="GRID",E251="FINISHED",E251="PIT"),0,MAX(Control!$B$15,(INDEX(Drivers!$D$8:$D$13,B251)+INDEX(Drivers!$E$8:$E$13,B251)*SIN((A251+INDEX(Drivers!$F$8:$F$13,B251)+Control!$B$16)*Control!$B$14))*INDEX(TrackMap!$M$8:$M$141,MOD(INT(D251)-1,Control!$B$7)+1)*IF(E251="BOOST",Control!$B$12,1)))</x:f>
        <x:v>4.096558727418364</x:v>
      </x:c>
      <x:c r="G251" s="83" t="n">
        <x:f>IF(A251=0,D251,MIN(Control!$B$17,D251+F251))</x:f>
        <x:v>138.15177129238697</x:v>
      </x:c>
      <x:c r="H251" s="73" t="n">
        <x:f>MOD(INT(G251)-1,Control!$B$7)+1</x:f>
        <x:v>4</x:v>
      </x:c>
      <x:c r="I251" s="73" t="n">
        <x:f>MIN(Control!$B$6,MAX(1,INT(MAX(0,G251)/Control!$B$7)+1))</x:f>
        <x:v>2</x:v>
      </x:c>
      <x:c r="J251" s="73" t="n">
        <x:f>INDEX(Drivers!$H$8:$H$13,B251)</x:f>
        <x:v>2</x:v>
      </x:c>
      <x:c r="K251" s="73" t="n">
        <x:f>IF(J251=1,INDEX(TrackMap!$I$8:$I$141,H251),INDEX(TrackMap!$L$8:$L$141,H251))</x:f>
        <x:v>3013</x:v>
      </x:c>
      <x:c r="L251" s="73" t="str">
        <x:f>INDEX(TrackMap!$F$8:$F$141,H251)</x:f>
        <x:v>←</x:v>
      </x:c>
      <x:c r="M251" s="87" t="n">
        <x:f>MAX(0,G251/Control!$B$17)</x:f>
        <x:v>0.20619667357072682</x:v>
      </x:c>
      <x:c r="N251" s="73" t="n">
        <x:f>IF(N245&gt;0,N245,IF(G251&gt;=Control!$B$17,A251,0))</x:f>
        <x:v>0</x:v>
      </x:c>
      <x:c r="O251" s="91" t="n">
        <x:f>IF(N251&gt;0,Control!$B$17+Control!$B$8+1-N251,G251)-B251/100000</x:f>
        <x:v>138.15173129238696</x:v>
      </x:c>
      <x:c r="P251" s="73" t="n">
        <x:f>COUNTIF($O$248:$O$253,"&gt;"&amp;O251)+1</x:f>
        <x:v>2</x:v>
      </x:c>
      <x:c r="Q251" s="83" t="n">
        <x:f>MAX($G$248:$G$253)-G251</x:f>
        <x:v>2.562397321806742</x:v>
      </x:c>
      <x:c r="R251" s="73" t="str">
        <x:f>INDEX(TrackMap!$B$8:$B$141,H251)</x:f>
        <x:v>发车大直道</x:v>
      </x:c>
    </x:row>
    <x:row r="252" ht="20" customHeight="1">
      <x:c r="A252" s="73" t="n">
        <x:v>40</x:v>
      </x:c>
      <x:c r="B252" s="73" t="n">
        <x:v>5</x:v>
      </x:c>
      <x:c r="C252" s="73" t="str">
        <x:f>INDEX(Drivers!$B$8:$B$13,B252)</x:f>
        <x:v>青锋</x:v>
      </x:c>
      <x:c r="D252" s="83" t="n">
        <x:f>G246</x:f>
        <x:v>129.80154308930616</x:v>
      </x:c>
      <x:c r="E252" s="83" t="str">
        <x:f>IF(A252=0,"GRID",IF(D252&gt;=Control!$B$17,"FINISHED",IF(AND(A252&gt;=INDEX(Drivers!$G$8:$G$13,B252),A252&lt;INDEX(Drivers!$G$8:$G$13,B252)+INDEX(Drivers!$J$8:$J$13,B252)),"PIT",IF(MOD(A252+INDEX(Drivers!$F$8:$F$13,B252),Control!$B$11)&lt;Control!$B$13,"BOOST","RACE"))))</x:f>
        <x:v>RACE</x:v>
      </x:c>
      <x:c r="F252" s="83" t="n">
        <x:f>IF(OR(E252="GRID",E252="FINISHED",E252="PIT"),0,MAX(Control!$B$15,(INDEX(Drivers!$D$8:$D$13,B252)+INDEX(Drivers!$E$8:$E$13,B252)*SIN((A252+INDEX(Drivers!$F$8:$F$13,B252)+Control!$B$16)*Control!$B$14))*INDEX(TrackMap!$M$8:$M$141,MOD(INT(D252)-1,Control!$B$7)+1)*IF(E252="BOOST",Control!$B$12,1)))</x:f>
        <x:v>3.8933924832618856</x:v>
      </x:c>
      <x:c r="G252" s="83" t="n">
        <x:f>IF(A252=0,D252,MIN(Control!$B$17,D252+F252))</x:f>
        <x:v>133.69493557256806</x:v>
      </x:c>
      <x:c r="H252" s="73" t="n">
        <x:f>MOD(INT(G252)-1,Control!$B$7)+1</x:f>
        <x:v>133</x:v>
      </x:c>
      <x:c r="I252" s="73" t="n">
        <x:f>MIN(Control!$B$6,MAX(1,INT(MAX(0,G252)/Control!$B$7)+1))</x:f>
        <x:v>1</x:v>
      </x:c>
      <x:c r="J252" s="73" t="n">
        <x:f>INDEX(Drivers!$H$8:$H$13,B252)</x:f>
        <x:v>1</x:v>
      </x:c>
      <x:c r="K252" s="73" t="n">
        <x:f>IF(J252=1,INDEX(TrackMap!$I$8:$I$141,H252),INDEX(TrackMap!$L$8:$L$141,H252))</x:f>
        <x:v>3118</x:v>
      </x:c>
      <x:c r="L252" s="73" t="str">
        <x:f>INDEX(TrackMap!$F$8:$F$141,H252)</x:f>
        <x:v>←</x:v>
      </x:c>
      <x:c r="M252" s="87" t="n">
        <x:f>MAX(0,G252/Control!$B$17)</x:f>
        <x:v>0.1995446799590568</x:v>
      </x:c>
      <x:c r="N252" s="73" t="n">
        <x:f>IF(N246&gt;0,N246,IF(G252&gt;=Control!$B$17,A252,0))</x:f>
        <x:v>0</x:v>
      </x:c>
      <x:c r="O252" s="91" t="n">
        <x:f>IF(N252&gt;0,Control!$B$17+Control!$B$8+1-N252,G252)-B252/100000</x:f>
        <x:v>133.69488557256807</x:v>
      </x:c>
      <x:c r="P252" s="73" t="n">
        <x:f>COUNTIF($O$248:$O$253,"&gt;"&amp;O252)+1</x:f>
        <x:v>5</x:v>
      </x:c>
      <x:c r="Q252" s="83" t="n">
        <x:f>MAX($G$248:$G$253)-G252</x:f>
        <x:v>7.019233041625654</x:v>
      </x:c>
      <x:c r="R252" s="73" t="str">
        <x:f>INDEX(TrackMap!$B$8:$B$141,H252)</x:f>
        <x:v>发车大直道</x:v>
      </x:c>
    </x:row>
    <x:row r="253" ht="20" customHeight="1">
      <x:c r="A253" s="73" t="n">
        <x:v>40</x:v>
      </x:c>
      <x:c r="B253" s="73" t="n">
        <x:v>6</x:v>
      </x:c>
      <x:c r="C253" s="73" t="str">
        <x:f>INDEX(Drivers!$B$8:$B$13,B253)</x:f>
        <x:v>玫速</x:v>
      </x:c>
      <x:c r="D253" s="83" t="n">
        <x:f>G247</x:f>
        <x:v>125.48296969765315</x:v>
      </x:c>
      <x:c r="E253" s="83" t="str">
        <x:f>IF(A253=0,"GRID",IF(D253&gt;=Control!$B$17,"FINISHED",IF(AND(A253&gt;=INDEX(Drivers!$G$8:$G$13,B253),A253&lt;INDEX(Drivers!$G$8:$G$13,B253)+INDEX(Drivers!$J$8:$J$13,B253)),"PIT",IF(MOD(A253+INDEX(Drivers!$F$8:$F$13,B253),Control!$B$11)&lt;Control!$B$13,"BOOST","RACE"))))</x:f>
        <x:v>RACE</x:v>
      </x:c>
      <x:c r="F253" s="83" t="n">
        <x:f>IF(OR(E253="GRID",E253="FINISHED",E253="PIT"),0,MAX(Control!$B$15,(INDEX(Drivers!$D$8:$D$13,B253)+INDEX(Drivers!$E$8:$E$13,B253)*SIN((A253+INDEX(Drivers!$F$8:$F$13,B253)+Control!$B$16)*Control!$B$14))*INDEX(TrackMap!$M$8:$M$141,MOD(INT(D253)-1,Control!$B$7)+1)*IF(E253="BOOST",Control!$B$12,1)))</x:f>
        <x:v>3.150052093727961</x:v>
      </x:c>
      <x:c r="G253" s="83" t="n">
        <x:f>IF(A253=0,D253,MIN(Control!$B$17,D253+F253))</x:f>
        <x:v>128.6330217913811</x:v>
      </x:c>
      <x:c r="H253" s="73" t="n">
        <x:f>MOD(INT(G253)-1,Control!$B$7)+1</x:f>
        <x:v>128</x:v>
      </x:c>
      <x:c r="I253" s="73" t="n">
        <x:f>MIN(Control!$B$6,MAX(1,INT(MAX(0,G253)/Control!$B$7)+1))</x:f>
        <x:v>1</x:v>
      </x:c>
      <x:c r="J253" s="73" t="n">
        <x:f>INDEX(Drivers!$H$8:$H$13,B253)</x:f>
        <x:v>2</x:v>
      </x:c>
      <x:c r="K253" s="73" t="n">
        <x:f>IF(J253=1,INDEX(TrackMap!$I$8:$I$141,H253),INDEX(TrackMap!$L$8:$L$141,H253))</x:f>
        <x:v>3023</x:v>
      </x:c>
      <x:c r="L253" s="73" t="str">
        <x:f>INDEX(TrackMap!$F$8:$F$141,H253)</x:f>
        <x:v>←</x:v>
      </x:c>
      <x:c r="M253" s="87" t="n">
        <x:f>MAX(0,G253/Control!$B$17)</x:f>
        <x:v>0.1919895847632554</x:v>
      </x:c>
      <x:c r="N253" s="73" t="n">
        <x:f>IF(N247&gt;0,N247,IF(G253&gt;=Control!$B$17,A253,0))</x:f>
        <x:v>0</x:v>
      </x:c>
      <x:c r="O253" s="91" t="n">
        <x:f>IF(N253&gt;0,Control!$B$17+Control!$B$8+1-N253,G253)-B253/100000</x:f>
        <x:v>128.63296179138112</x:v>
      </x:c>
      <x:c r="P253" s="73" t="n">
        <x:f>COUNTIF($O$248:$O$253,"&gt;"&amp;O253)+1</x:f>
        <x:v>6</x:v>
      </x:c>
      <x:c r="Q253" s="83" t="n">
        <x:f>MAX($G$248:$G$253)-G253</x:f>
        <x:v>12.081146822812599</x:v>
      </x:c>
      <x:c r="R253" s="73" t="str">
        <x:f>INDEX(TrackMap!$B$8:$B$141,H253)</x:f>
        <x:v>发车大直道</x:v>
      </x:c>
    </x:row>
    <x:row r="254" ht="20" customHeight="1">
      <x:c r="A254" s="73" t="n">
        <x:v>41</x:v>
      </x:c>
      <x:c r="B254" s="73" t="n">
        <x:v>1</x:v>
      </x:c>
      <x:c r="C254" s="73" t="str">
        <x:f>INDEX(Drivers!$B$8:$B$13,B254)</x:f>
        <x:v>赤焰</x:v>
      </x:c>
      <x:c r="D254" s="83" t="n">
        <x:f>G248</x:f>
        <x:v>140.7141686141937</x:v>
      </x:c>
      <x:c r="E254" s="83" t="str">
        <x:f>IF(A254=0,"GRID",IF(D254&gt;=Control!$B$17,"FINISHED",IF(AND(A254&gt;=INDEX(Drivers!$G$8:$G$13,B254),A254&lt;INDEX(Drivers!$G$8:$G$13,B254)+INDEX(Drivers!$J$8:$J$13,B254)),"PIT",IF(MOD(A254+INDEX(Drivers!$F$8:$F$13,B254),Control!$B$11)&lt;Control!$B$13,"BOOST","RACE"))))</x:f>
        <x:v>RACE</x:v>
      </x:c>
      <x:c r="F254" s="83" t="n">
        <x:f>IF(OR(E254="GRID",E254="FINISHED",E254="PIT"),0,MAX(Control!$B$15,(INDEX(Drivers!$D$8:$D$13,B254)+INDEX(Drivers!$E$8:$E$13,B254)*SIN((A254+INDEX(Drivers!$F$8:$F$13,B254)+Control!$B$16)*Control!$B$14))*INDEX(TrackMap!$M$8:$M$141,MOD(INT(D254)-1,Control!$B$7)+1)*IF(E254="BOOST",Control!$B$12,1)))</x:f>
        <x:v>4.198639465613169</x:v>
      </x:c>
      <x:c r="G254" s="83" t="n">
        <x:f>IF(A254=0,D254,MIN(Control!$B$17,D254+F254))</x:f>
        <x:v>144.9128080798069</x:v>
      </x:c>
      <x:c r="H254" s="73" t="n">
        <x:f>MOD(INT(G254)-1,Control!$B$7)+1</x:f>
        <x:v>10</x:v>
      </x:c>
      <x:c r="I254" s="73" t="n">
        <x:f>MIN(Control!$B$6,MAX(1,INT(MAX(0,G254)/Control!$B$7)+1))</x:f>
        <x:v>2</x:v>
      </x:c>
      <x:c r="J254" s="73" t="n">
        <x:f>INDEX(Drivers!$H$8:$H$13,B254)</x:f>
        <x:v>1</x:v>
      </x:c>
      <x:c r="K254" s="73" t="n">
        <x:f>IF(J254=1,INDEX(TrackMap!$I$8:$I$141,H254),INDEX(TrackMap!$L$8:$L$141,H254))</x:f>
        <x:v>3107</x:v>
      </x:c>
      <x:c r="L254" s="73" t="str">
        <x:f>INDEX(TrackMap!$F$8:$F$141,H254)</x:f>
        <x:v>←</x:v>
      </x:c>
      <x:c r="M254" s="87" t="n">
        <x:f>MAX(0,G254/Control!$B$17)</x:f>
        <x:v>0.21628777325344312</x:v>
      </x:c>
      <x:c r="N254" s="73" t="n">
        <x:f>IF(N248&gt;0,N248,IF(G254&gt;=Control!$B$17,A254,0))</x:f>
        <x:v>0</x:v>
      </x:c>
      <x:c r="O254" s="91" t="n">
        <x:f>IF(N254&gt;0,Control!$B$17+Control!$B$8+1-N254,G254)-B254/100000</x:f>
        <x:v>144.9127980798069</x:v>
      </x:c>
      <x:c r="P254" s="73" t="n">
        <x:f>COUNTIF($O$254:$O$259,"&gt;"&amp;O254)+1</x:f>
        <x:v>1</x:v>
      </x:c>
      <x:c r="Q254" s="83" t="n">
        <x:f>MAX($G$254:$G$259)-G254</x:f>
        <x:v>0</x:v>
      </x:c>
      <x:c r="R254" s="73" t="str">
        <x:f>INDEX(TrackMap!$B$8:$B$141,H254)</x:f>
        <x:v>发车大直道</x:v>
      </x:c>
    </x:row>
    <x:row r="255" ht="20" customHeight="1">
      <x:c r="A255" s="73" t="n">
        <x:v>41</x:v>
      </x:c>
      <x:c r="B255" s="73" t="n">
        <x:v>2</x:v>
      </x:c>
      <x:c r="C255" s="73" t="str">
        <x:f>INDEX(Drivers!$B$8:$B$13,B255)</x:f>
        <x:v>蓝电</x:v>
      </x:c>
      <x:c r="D255" s="83" t="n">
        <x:f>G249</x:f>
        <x:v>136.0558334212115</x:v>
      </x:c>
      <x:c r="E255" s="83" t="str">
        <x:f>IF(A255=0,"GRID",IF(D255&gt;=Control!$B$17,"FINISHED",IF(AND(A255&gt;=INDEX(Drivers!$G$8:$G$13,B255),A255&lt;INDEX(Drivers!$G$8:$G$13,B255)+INDEX(Drivers!$J$8:$J$13,B255)),"PIT",IF(MOD(A255+INDEX(Drivers!$F$8:$F$13,B255),Control!$B$11)&lt;Control!$B$13,"BOOST","RACE"))))</x:f>
        <x:v>RACE</x:v>
      </x:c>
      <x:c r="F255" s="83" t="n">
        <x:f>IF(OR(E255="GRID",E255="FINISHED",E255="PIT"),0,MAX(Control!$B$15,(INDEX(Drivers!$D$8:$D$13,B255)+INDEX(Drivers!$E$8:$E$13,B255)*SIN((A255+INDEX(Drivers!$F$8:$F$13,B255)+Control!$B$16)*Control!$B$14))*INDEX(TrackMap!$M$8:$M$141,MOD(INT(D255)-1,Control!$B$7)+1)*IF(E255="BOOST",Control!$B$12,1)))</x:f>
        <x:v>3.092351882999135</x:v>
      </x:c>
      <x:c r="G255" s="83" t="n">
        <x:f>IF(A255=0,D255,MIN(Control!$B$17,D255+F255))</x:f>
        <x:v>139.14818530421064</x:v>
      </x:c>
      <x:c r="H255" s="73" t="n">
        <x:f>MOD(INT(G255)-1,Control!$B$7)+1</x:f>
        <x:v>5</x:v>
      </x:c>
      <x:c r="I255" s="73" t="n">
        <x:f>MIN(Control!$B$6,MAX(1,INT(MAX(0,G255)/Control!$B$7)+1))</x:f>
        <x:v>2</x:v>
      </x:c>
      <x:c r="J255" s="73" t="n">
        <x:f>INDEX(Drivers!$H$8:$H$13,B255)</x:f>
        <x:v>2</x:v>
      </x:c>
      <x:c r="K255" s="73" t="n">
        <x:f>IF(J255=1,INDEX(TrackMap!$I$8:$I$141,H255),INDEX(TrackMap!$L$8:$L$141,H255))</x:f>
        <x:v>3012</x:v>
      </x:c>
      <x:c r="L255" s="73" t="str">
        <x:f>INDEX(TrackMap!$F$8:$F$141,H255)</x:f>
        <x:v>←</x:v>
      </x:c>
      <x:c r="M255" s="87" t="n">
        <x:f>MAX(0,G255/Control!$B$17)</x:f>
        <x:v>0.20768385866300096</x:v>
      </x:c>
      <x:c r="N255" s="73" t="n">
        <x:f>IF(N249&gt;0,N249,IF(G255&gt;=Control!$B$17,A255,0))</x:f>
        <x:v>0</x:v>
      </x:c>
      <x:c r="O255" s="91" t="n">
        <x:f>IF(N255&gt;0,Control!$B$17+Control!$B$8+1-N255,G255)-B255/100000</x:f>
        <x:v>139.14816530421064</x:v>
      </x:c>
      <x:c r="P255" s="73" t="n">
        <x:f>COUNTIF($O$254:$O$259,"&gt;"&amp;O255)+1</x:f>
        <x:v>3</x:v>
      </x:c>
      <x:c r="Q255" s="83" t="n">
        <x:f>MAX($G$254:$G$259)-G255</x:f>
        <x:v>5.764622775596251</x:v>
      </x:c>
      <x:c r="R255" s="73" t="str">
        <x:f>INDEX(TrackMap!$B$8:$B$141,H255)</x:f>
        <x:v>发车大直道</x:v>
      </x:c>
    </x:row>
    <x:row r="256" ht="20" customHeight="1">
      <x:c r="A256" s="73" t="n">
        <x:v>41</x:v>
      </x:c>
      <x:c r="B256" s="73" t="n">
        <x:v>3</x:v>
      </x:c>
      <x:c r="C256" s="73" t="str">
        <x:f>INDEX(Drivers!$B$8:$B$13,B256)</x:f>
        <x:v>金翼</x:v>
      </x:c>
      <x:c r="D256" s="83" t="n">
        <x:f>G250</x:f>
        <x:v>133.7410166672037</x:v>
      </x:c>
      <x:c r="E256" s="83" t="str">
        <x:f>IF(A256=0,"GRID",IF(D256&gt;=Control!$B$17,"FINISHED",IF(AND(A256&gt;=INDEX(Drivers!$G$8:$G$13,B256),A256&lt;INDEX(Drivers!$G$8:$G$13,B256)+INDEX(Drivers!$J$8:$J$13,B256)),"PIT",IF(MOD(A256+INDEX(Drivers!$F$8:$F$13,B256),Control!$B$11)&lt;Control!$B$13,"BOOST","RACE"))))</x:f>
        <x:v>RACE</x:v>
      </x:c>
      <x:c r="F256" s="83" t="n">
        <x:f>IF(OR(E256="GRID",E256="FINISHED",E256="PIT"),0,MAX(Control!$B$15,(INDEX(Drivers!$D$8:$D$13,B256)+INDEX(Drivers!$E$8:$E$13,B256)*SIN((A256+INDEX(Drivers!$F$8:$F$13,B256)+Control!$B$16)*Control!$B$14))*INDEX(TrackMap!$M$8:$M$141,MOD(INT(D256)-1,Control!$B$7)+1)*IF(E256="BOOST",Control!$B$12,1)))</x:f>
        <x:v>3.0368878969703124</x:v>
      </x:c>
      <x:c r="G256" s="83" t="n">
        <x:f>IF(A256=0,D256,MIN(Control!$B$17,D256+F256))</x:f>
        <x:v>136.777904564174</x:v>
      </x:c>
      <x:c r="H256" s="73" t="n">
        <x:f>MOD(INT(G256)-1,Control!$B$7)+1</x:f>
        <x:v>2</x:v>
      </x:c>
      <x:c r="I256" s="73" t="n">
        <x:f>MIN(Control!$B$6,MAX(1,INT(MAX(0,G256)/Control!$B$7)+1))</x:f>
        <x:v>2</x:v>
      </x:c>
      <x:c r="J256" s="73" t="n">
        <x:f>INDEX(Drivers!$H$8:$H$13,B256)</x:f>
        <x:v>1</x:v>
      </x:c>
      <x:c r="K256" s="73" t="n">
        <x:f>IF(J256=1,INDEX(TrackMap!$I$8:$I$141,H256),INDEX(TrackMap!$L$8:$L$141,H256))</x:f>
        <x:v>3115</x:v>
      </x:c>
      <x:c r="L256" s="73" t="str">
        <x:f>INDEX(TrackMap!$F$8:$F$141,H256)</x:f>
        <x:v>←</x:v>
      </x:c>
      <x:c r="M256" s="87" t="n">
        <x:f>MAX(0,G256/Control!$B$17)</x:f>
        <x:v>0.20414612621518508</x:v>
      </x:c>
      <x:c r="N256" s="73" t="n">
        <x:f>IF(N250&gt;0,N250,IF(G256&gt;=Control!$B$17,A256,0))</x:f>
        <x:v>0</x:v>
      </x:c>
      <x:c r="O256" s="91" t="n">
        <x:f>IF(N256&gt;0,Control!$B$17+Control!$B$8+1-N256,G256)-B256/100000</x:f>
        <x:v>136.777874564174</x:v>
      </x:c>
      <x:c r="P256" s="73" t="n">
        <x:f>COUNTIF($O$254:$O$259,"&gt;"&amp;O256)+1</x:f>
        <x:v>4</x:v>
      </x:c>
      <x:c r="Q256" s="83" t="n">
        <x:f>MAX($G$254:$G$259)-G256</x:f>
        <x:v>8.134903515632885</x:v>
      </x:c>
      <x:c r="R256" s="73" t="str">
        <x:f>INDEX(TrackMap!$B$8:$B$141,H256)</x:f>
        <x:v>发车大直道</x:v>
      </x:c>
    </x:row>
    <x:row r="257" ht="20" customHeight="1">
      <x:c r="A257" s="73" t="n">
        <x:v>41</x:v>
      </x:c>
      <x:c r="B257" s="73" t="n">
        <x:v>4</x:v>
      </x:c>
      <x:c r="C257" s="73" t="str">
        <x:f>INDEX(Drivers!$B$8:$B$13,B257)</x:f>
        <x:v>紫影</x:v>
      </x:c>
      <x:c r="D257" s="83" t="n">
        <x:f>G251</x:f>
        <x:v>138.15177129238697</x:v>
      </x:c>
      <x:c r="E257" s="83" t="str">
        <x:f>IF(A257=0,"GRID",IF(D257&gt;=Control!$B$17,"FINISHED",IF(AND(A257&gt;=INDEX(Drivers!$G$8:$G$13,B257),A257&lt;INDEX(Drivers!$G$8:$G$13,B257)+INDEX(Drivers!$J$8:$J$13,B257)),"PIT",IF(MOD(A257+INDEX(Drivers!$F$8:$F$13,B257),Control!$B$11)&lt;Control!$B$13,"BOOST","RACE"))))</x:f>
        <x:v>BOOST</x:v>
      </x:c>
      <x:c r="F257" s="83" t="n">
        <x:f>IF(OR(E257="GRID",E257="FINISHED",E257="PIT"),0,MAX(Control!$B$15,(INDEX(Drivers!$D$8:$D$13,B257)+INDEX(Drivers!$E$8:$E$13,B257)*SIN((A257+INDEX(Drivers!$F$8:$F$13,B257)+Control!$B$16)*Control!$B$14))*INDEX(TrackMap!$M$8:$M$141,MOD(INT(D257)-1,Control!$B$7)+1)*IF(E257="BOOST",Control!$B$12,1)))</x:f>
        <x:v>4.9803642736401565</x:v>
      </x:c>
      <x:c r="G257" s="83" t="n">
        <x:f>IF(A257=0,D257,MIN(Control!$B$17,D257+F257))</x:f>
        <x:v>143.13213556602713</x:v>
      </x:c>
      <x:c r="H257" s="73" t="n">
        <x:f>MOD(INT(G257)-1,Control!$B$7)+1</x:f>
        <x:v>9</x:v>
      </x:c>
      <x:c r="I257" s="73" t="n">
        <x:f>MIN(Control!$B$6,MAX(1,INT(MAX(0,G257)/Control!$B$7)+1))</x:f>
        <x:v>2</x:v>
      </x:c>
      <x:c r="J257" s="73" t="n">
        <x:f>INDEX(Drivers!$H$8:$H$13,B257)</x:f>
        <x:v>2</x:v>
      </x:c>
      <x:c r="K257" s="73" t="n">
        <x:f>IF(J257=1,INDEX(TrackMap!$I$8:$I$141,H257),INDEX(TrackMap!$L$8:$L$141,H257))</x:f>
        <x:v>3008</x:v>
      </x:c>
      <x:c r="L257" s="73" t="str">
        <x:f>INDEX(TrackMap!$F$8:$F$141,H257)</x:f>
        <x:v>←</x:v>
      </x:c>
      <x:c r="M257" s="87" t="n">
        <x:f>MAX(0,G257/Control!$B$17)</x:f>
        <x:v>0.2136300530836226</x:v>
      </x:c>
      <x:c r="N257" s="73" t="n">
        <x:f>IF(N251&gt;0,N251,IF(G257&gt;=Control!$B$17,A257,0))</x:f>
        <x:v>0</x:v>
      </x:c>
      <x:c r="O257" s="91" t="n">
        <x:f>IF(N257&gt;0,Control!$B$17+Control!$B$8+1-N257,G257)-B257/100000</x:f>
        <x:v>143.13209556602712</x:v>
      </x:c>
      <x:c r="P257" s="73" t="n">
        <x:f>COUNTIF($O$254:$O$259,"&gt;"&amp;O257)+1</x:f>
        <x:v>2</x:v>
      </x:c>
      <x:c r="Q257" s="83" t="n">
        <x:f>MAX($G$254:$G$259)-G257</x:f>
        <x:v>1.7806725137797628</x:v>
      </x:c>
      <x:c r="R257" s="73" t="str">
        <x:f>INDEX(TrackMap!$B$8:$B$141,H257)</x:f>
        <x:v>发车大直道</x:v>
      </x:c>
    </x:row>
    <x:row r="258" ht="20" customHeight="1">
      <x:c r="A258" s="73" t="n">
        <x:v>41</x:v>
      </x:c>
      <x:c r="B258" s="73" t="n">
        <x:v>5</x:v>
      </x:c>
      <x:c r="C258" s="73" t="str">
        <x:f>INDEX(Drivers!$B$8:$B$13,B258)</x:f>
        <x:v>青锋</x:v>
      </x:c>
      <x:c r="D258" s="83" t="n">
        <x:f>G252</x:f>
        <x:v>133.69493557256806</x:v>
      </x:c>
      <x:c r="E258" s="83" t="str">
        <x:f>IF(A258=0,"GRID",IF(D258&gt;=Control!$B$17,"FINISHED",IF(AND(A258&gt;=INDEX(Drivers!$G$8:$G$13,B258),A258&lt;INDEX(Drivers!$G$8:$G$13,B258)+INDEX(Drivers!$J$8:$J$13,B258)),"PIT",IF(MOD(A258+INDEX(Drivers!$F$8:$F$13,B258),Control!$B$11)&lt;Control!$B$13,"BOOST","RACE"))))</x:f>
        <x:v>RACE</x:v>
      </x:c>
      <x:c r="F258" s="83" t="n">
        <x:f>IF(OR(E258="GRID",E258="FINISHED",E258="PIT"),0,MAX(Control!$B$15,(INDEX(Drivers!$D$8:$D$13,B258)+INDEX(Drivers!$E$8:$E$13,B258)*SIN((A258+INDEX(Drivers!$F$8:$F$13,B258)+Control!$B$16)*Control!$B$14))*INDEX(TrackMap!$M$8:$M$141,MOD(INT(D258)-1,Control!$B$7)+1)*IF(E258="BOOST",Control!$B$12,1)))</x:f>
        <x:v>2.8964793336257286</x:v>
      </x:c>
      <x:c r="G258" s="83" t="n">
        <x:f>IF(A258=0,D258,MIN(Control!$B$17,D258+F258))</x:f>
        <x:v>136.5914149061938</x:v>
      </x:c>
      <x:c r="H258" s="73" t="n">
        <x:f>MOD(INT(G258)-1,Control!$B$7)+1</x:f>
        <x:v>2</x:v>
      </x:c>
      <x:c r="I258" s="73" t="n">
        <x:f>MIN(Control!$B$6,MAX(1,INT(MAX(0,G258)/Control!$B$7)+1))</x:f>
        <x:v>2</x:v>
      </x:c>
      <x:c r="J258" s="73" t="n">
        <x:f>INDEX(Drivers!$H$8:$H$13,B258)</x:f>
        <x:v>1</x:v>
      </x:c>
      <x:c r="K258" s="73" t="n">
        <x:f>IF(J258=1,INDEX(TrackMap!$I$8:$I$141,H258),INDEX(TrackMap!$L$8:$L$141,H258))</x:f>
        <x:v>3115</x:v>
      </x:c>
      <x:c r="L258" s="73" t="str">
        <x:f>INDEX(TrackMap!$F$8:$F$141,H258)</x:f>
        <x:v>←</x:v>
      </x:c>
      <x:c r="M258" s="87" t="n">
        <x:f>MAX(0,G258/Control!$B$17)</x:f>
        <x:v>0.20386778344208029</x:v>
      </x:c>
      <x:c r="N258" s="73" t="n">
        <x:f>IF(N252&gt;0,N252,IF(G258&gt;=Control!$B$17,A258,0))</x:f>
        <x:v>0</x:v>
      </x:c>
      <x:c r="O258" s="91" t="n">
        <x:f>IF(N258&gt;0,Control!$B$17+Control!$B$8+1-N258,G258)-B258/100000</x:f>
        <x:v>136.5913649061938</x:v>
      </x:c>
      <x:c r="P258" s="73" t="n">
        <x:f>COUNTIF($O$254:$O$259,"&gt;"&amp;O258)+1</x:f>
        <x:v>5</x:v>
      </x:c>
      <x:c r="Q258" s="83" t="n">
        <x:f>MAX($G$254:$G$259)-G258</x:f>
        <x:v>8.321393173613103</x:v>
      </x:c>
      <x:c r="R258" s="73" t="str">
        <x:f>INDEX(TrackMap!$B$8:$B$141,H258)</x:f>
        <x:v>发车大直道</x:v>
      </x:c>
    </x:row>
    <x:row r="259" ht="20" customHeight="1">
      <x:c r="A259" s="73" t="n">
        <x:v>41</x:v>
      </x:c>
      <x:c r="B259" s="73" t="n">
        <x:v>6</x:v>
      </x:c>
      <x:c r="C259" s="73" t="str">
        <x:f>INDEX(Drivers!$B$8:$B$13,B259)</x:f>
        <x:v>玫速</x:v>
      </x:c>
      <x:c r="D259" s="83" t="n">
        <x:f>G253</x:f>
        <x:v>128.6330217913811</x:v>
      </x:c>
      <x:c r="E259" s="83" t="str">
        <x:f>IF(A259=0,"GRID",IF(D259&gt;=Control!$B$17,"FINISHED",IF(AND(A259&gt;=INDEX(Drivers!$G$8:$G$13,B259),A259&lt;INDEX(Drivers!$G$8:$G$13,B259)+INDEX(Drivers!$J$8:$J$13,B259)),"PIT",IF(MOD(A259+INDEX(Drivers!$F$8:$F$13,B259),Control!$B$11)&lt;Control!$B$13,"BOOST","RACE"))))</x:f>
        <x:v>RACE</x:v>
      </x:c>
      <x:c r="F259" s="83" t="n">
        <x:f>IF(OR(E259="GRID",E259="FINISHED",E259="PIT"),0,MAX(Control!$B$15,(INDEX(Drivers!$D$8:$D$13,B259)+INDEX(Drivers!$E$8:$E$13,B259)*SIN((A259+INDEX(Drivers!$F$8:$F$13,B259)+Control!$B$16)*Control!$B$14))*INDEX(TrackMap!$M$8:$M$141,MOD(INT(D259)-1,Control!$B$7)+1)*IF(E259="BOOST",Control!$B$12,1)))</x:f>
        <x:v>3.2876539023654243</x:v>
      </x:c>
      <x:c r="G259" s="83" t="n">
        <x:f>IF(A259=0,D259,MIN(Control!$B$17,D259+F259))</x:f>
        <x:v>131.92067569374655</x:v>
      </x:c>
      <x:c r="H259" s="73" t="n">
        <x:f>MOD(INT(G259)-1,Control!$B$7)+1</x:f>
        <x:v>131</x:v>
      </x:c>
      <x:c r="I259" s="73" t="n">
        <x:f>MIN(Control!$B$6,MAX(1,INT(MAX(0,G259)/Control!$B$7)+1))</x:f>
        <x:v>1</x:v>
      </x:c>
      <x:c r="J259" s="73" t="n">
        <x:f>INDEX(Drivers!$H$8:$H$13,B259)</x:f>
        <x:v>2</x:v>
      </x:c>
      <x:c r="K259" s="73" t="n">
        <x:f>IF(J259=1,INDEX(TrackMap!$I$8:$I$141,H259),INDEX(TrackMap!$L$8:$L$141,H259))</x:f>
        <x:v>3020</x:v>
      </x:c>
      <x:c r="L259" s="73" t="str">
        <x:f>INDEX(TrackMap!$F$8:$F$141,H259)</x:f>
        <x:v>←</x:v>
      </x:c>
      <x:c r="M259" s="87" t="n">
        <x:f>MAX(0,G259/Control!$B$17)</x:f>
        <x:v>0.1968965308861889</x:v>
      </x:c>
      <x:c r="N259" s="73" t="n">
        <x:f>IF(N253&gt;0,N253,IF(G259&gt;=Control!$B$17,A259,0))</x:f>
        <x:v>0</x:v>
      </x:c>
      <x:c r="O259" s="91" t="n">
        <x:f>IF(N259&gt;0,Control!$B$17+Control!$B$8+1-N259,G259)-B259/100000</x:f>
        <x:v>131.92061569374656</x:v>
      </x:c>
      <x:c r="P259" s="73" t="n">
        <x:f>COUNTIF($O$254:$O$259,"&gt;"&amp;O259)+1</x:f>
        <x:v>6</x:v>
      </x:c>
      <x:c r="Q259" s="83" t="n">
        <x:f>MAX($G$254:$G$259)-G259</x:f>
        <x:v>12.992132386060348</x:v>
      </x:c>
      <x:c r="R259" s="73" t="str">
        <x:f>INDEX(TrackMap!$B$8:$B$141,H259)</x:f>
        <x:v>发车大直道</x:v>
      </x:c>
    </x:row>
    <x:row r="260" ht="20" customHeight="1">
      <x:c r="A260" s="73" t="n">
        <x:v>42</x:v>
      </x:c>
      <x:c r="B260" s="73" t="n">
        <x:v>1</x:v>
      </x:c>
      <x:c r="C260" s="73" t="str">
        <x:f>INDEX(Drivers!$B$8:$B$13,B260)</x:f>
        <x:v>赤焰</x:v>
      </x:c>
      <x:c r="D260" s="83" t="n">
        <x:f>G254</x:f>
        <x:v>144.9128080798069</x:v>
      </x:c>
      <x:c r="E260" s="83" t="str">
        <x:f>IF(A260=0,"GRID",IF(D260&gt;=Control!$B$17,"FINISHED",IF(AND(A260&gt;=INDEX(Drivers!$G$8:$G$13,B260),A260&lt;INDEX(Drivers!$G$8:$G$13,B260)+INDEX(Drivers!$J$8:$J$13,B260)),"PIT",IF(MOD(A260+INDEX(Drivers!$F$8:$F$13,B260),Control!$B$11)&lt;Control!$B$13,"BOOST","RACE"))))</x:f>
        <x:v>RACE</x:v>
      </x:c>
      <x:c r="F260" s="83" t="n">
        <x:f>IF(OR(E260="GRID",E260="FINISHED",E260="PIT"),0,MAX(Control!$B$15,(INDEX(Drivers!$D$8:$D$13,B260)+INDEX(Drivers!$E$8:$E$13,B260)*SIN((A260+INDEX(Drivers!$F$8:$F$13,B260)+Control!$B$16)*Control!$B$14))*INDEX(TrackMap!$M$8:$M$141,MOD(INT(D260)-1,Control!$B$7)+1)*IF(E260="BOOST",Control!$B$12,1)))</x:f>
        <x:v>4.175492289495397</x:v>
      </x:c>
      <x:c r="G260" s="83" t="n">
        <x:f>IF(A260=0,D260,MIN(Control!$B$17,D260+F260))</x:f>
        <x:v>149.0883003693023</x:v>
      </x:c>
      <x:c r="H260" s="73" t="n">
        <x:f>MOD(INT(G260)-1,Control!$B$7)+1</x:f>
        <x:v>15</x:v>
      </x:c>
      <x:c r="I260" s="73" t="n">
        <x:f>MIN(Control!$B$6,MAX(1,INT(MAX(0,G260)/Control!$B$7)+1))</x:f>
        <x:v>2</x:v>
      </x:c>
      <x:c r="J260" s="73" t="n">
        <x:f>INDEX(Drivers!$H$8:$H$13,B260)</x:f>
        <x:v>1</x:v>
      </x:c>
      <x:c r="K260" s="73" t="n">
        <x:f>IF(J260=1,INDEX(TrackMap!$I$8:$I$141,H260),INDEX(TrackMap!$L$8:$L$141,H260))</x:f>
        <x:v>2703</x:v>
      </x:c>
      <x:c r="L260" s="73" t="str">
        <x:f>INDEX(TrackMap!$F$8:$F$141,H260)</x:f>
        <x:v>↑</x:v>
      </x:c>
      <x:c r="M260" s="87" t="n">
        <x:f>MAX(0,G260/Control!$B$17)</x:f>
        <x:v>0.2225198512974661</x:v>
      </x:c>
      <x:c r="N260" s="73" t="n">
        <x:f>IF(N254&gt;0,N254,IF(G260&gt;=Control!$B$17,A260,0))</x:f>
        <x:v>0</x:v>
      </x:c>
      <x:c r="O260" s="91" t="n">
        <x:f>IF(N260&gt;0,Control!$B$17+Control!$B$8+1-N260,G260)-B260/100000</x:f>
        <x:v>149.08829036930229</x:v>
      </x:c>
      <x:c r="P260" s="73" t="n">
        <x:f>COUNTIF($O$260:$O$265,"&gt;"&amp;O260)+1</x:f>
        <x:v>1</x:v>
      </x:c>
      <x:c r="Q260" s="83" t="n">
        <x:f>MAX($G$260:$G$265)-G260</x:f>
        <x:v>0</x:v>
      </x:c>
      <x:c r="R260" s="73" t="str">
        <x:f>INDEX(TrackMap!$B$8:$B$141,H260)</x:f>
        <x:v>西侧回弯</x:v>
      </x:c>
    </x:row>
    <x:row r="261" ht="20" customHeight="1">
      <x:c r="A261" s="73" t="n">
        <x:v>42</x:v>
      </x:c>
      <x:c r="B261" s="73" t="n">
        <x:v>2</x:v>
      </x:c>
      <x:c r="C261" s="73" t="str">
        <x:f>INDEX(Drivers!$B$8:$B$13,B261)</x:f>
        <x:v>蓝电</x:v>
      </x:c>
      <x:c r="D261" s="83" t="n">
        <x:f>G255</x:f>
        <x:v>139.14818530421064</x:v>
      </x:c>
      <x:c r="E261" s="83" t="str">
        <x:f>IF(A261=0,"GRID",IF(D261&gt;=Control!$B$17,"FINISHED",IF(AND(A261&gt;=INDEX(Drivers!$G$8:$G$13,B261),A261&lt;INDEX(Drivers!$G$8:$G$13,B261)+INDEX(Drivers!$J$8:$J$13,B261)),"PIT",IF(MOD(A261+INDEX(Drivers!$F$8:$F$13,B261),Control!$B$11)&lt;Control!$B$13,"BOOST","RACE"))))</x:f>
        <x:v>RACE</x:v>
      </x:c>
      <x:c r="F261" s="83" t="n">
        <x:f>IF(OR(E261="GRID",E261="FINISHED",E261="PIT"),0,MAX(Control!$B$15,(INDEX(Drivers!$D$8:$D$13,B261)+INDEX(Drivers!$E$8:$E$13,B261)*SIN((A261+INDEX(Drivers!$F$8:$F$13,B261)+Control!$B$16)*Control!$B$14))*INDEX(TrackMap!$M$8:$M$141,MOD(INT(D261)-1,Control!$B$7)+1)*IF(E261="BOOST",Control!$B$12,1)))</x:f>
        <x:v>2.9989423521680685</x:v>
      </x:c>
      <x:c r="G261" s="83" t="n">
        <x:f>IF(A261=0,D261,MIN(Control!$B$17,D261+F261))</x:f>
        <x:v>142.1471276563787</x:v>
      </x:c>
      <x:c r="H261" s="73" t="n">
        <x:f>MOD(INT(G261)-1,Control!$B$7)+1</x:f>
        <x:v>8</x:v>
      </x:c>
      <x:c r="I261" s="73" t="n">
        <x:f>MIN(Control!$B$6,MAX(1,INT(MAX(0,G261)/Control!$B$7)+1))</x:f>
        <x:v>2</x:v>
      </x:c>
      <x:c r="J261" s="73" t="n">
        <x:f>INDEX(Drivers!$H$8:$H$13,B261)</x:f>
        <x:v>2</x:v>
      </x:c>
      <x:c r="K261" s="73" t="n">
        <x:f>IF(J261=1,INDEX(TrackMap!$I$8:$I$141,H261),INDEX(TrackMap!$L$8:$L$141,H261))</x:f>
        <x:v>3009</x:v>
      </x:c>
      <x:c r="L261" s="73" t="str">
        <x:f>INDEX(TrackMap!$F$8:$F$141,H261)</x:f>
        <x:v>←</x:v>
      </x:c>
      <x:c r="M261" s="87" t="n">
        <x:f>MAX(0,G261/Control!$B$17)</x:f>
        <x:v>0.21215989202444582</x:v>
      </x:c>
      <x:c r="N261" s="73" t="n">
        <x:f>IF(N255&gt;0,N255,IF(G261&gt;=Control!$B$17,A261,0))</x:f>
        <x:v>0</x:v>
      </x:c>
      <x:c r="O261" s="91" t="n">
        <x:f>IF(N261&gt;0,Control!$B$17+Control!$B$8+1-N261,G261)-B261/100000</x:f>
        <x:v>142.1471076563787</x:v>
      </x:c>
      <x:c r="P261" s="73" t="n">
        <x:f>COUNTIF($O$260:$O$265,"&gt;"&amp;O261)+1</x:f>
        <x:v>3</x:v>
      </x:c>
      <x:c r="Q261" s="83" t="n">
        <x:f>MAX($G$260:$G$265)-G261</x:f>
        <x:v>6.9411727129235885</x:v>
      </x:c>
      <x:c r="R261" s="73" t="str">
        <x:f>INDEX(TrackMap!$B$8:$B$141,H261)</x:f>
        <x:v>发车大直道</x:v>
      </x:c>
    </x:row>
    <x:row r="262" ht="20" customHeight="1">
      <x:c r="A262" s="73" t="n">
        <x:v>42</x:v>
      </x:c>
      <x:c r="B262" s="73" t="n">
        <x:v>3</x:v>
      </x:c>
      <x:c r="C262" s="73" t="str">
        <x:f>INDEX(Drivers!$B$8:$B$13,B262)</x:f>
        <x:v>金翼</x:v>
      </x:c>
      <x:c r="D262" s="83" t="n">
        <x:f>G256</x:f>
        <x:v>136.777904564174</x:v>
      </x:c>
      <x:c r="E262" s="83" t="str">
        <x:f>IF(A262=0,"GRID",IF(D262&gt;=Control!$B$17,"FINISHED",IF(AND(A262&gt;=INDEX(Drivers!$G$8:$G$13,B262),A262&lt;INDEX(Drivers!$G$8:$G$13,B262)+INDEX(Drivers!$J$8:$J$13,B262)),"PIT",IF(MOD(A262+INDEX(Drivers!$F$8:$F$13,B262),Control!$B$11)&lt;Control!$B$13,"BOOST","RACE"))))</x:f>
        <x:v>RACE</x:v>
      </x:c>
      <x:c r="F262" s="83" t="n">
        <x:f>IF(OR(E262="GRID",E262="FINISHED",E262="PIT"),0,MAX(Control!$B$15,(INDEX(Drivers!$D$8:$D$13,B262)+INDEX(Drivers!$E$8:$E$13,B262)*SIN((A262+INDEX(Drivers!$F$8:$F$13,B262)+Control!$B$16)*Control!$B$14))*INDEX(TrackMap!$M$8:$M$141,MOD(INT(D262)-1,Control!$B$7)+1)*IF(E262="BOOST",Control!$B$12,1)))</x:f>
        <x:v>4.047082334126121</x:v>
      </x:c>
      <x:c r="G262" s="83" t="n">
        <x:f>IF(A262=0,D262,MIN(Control!$B$17,D262+F262))</x:f>
        <x:v>140.82498689830012</x:v>
      </x:c>
      <x:c r="H262" s="73" t="n">
        <x:f>MOD(INT(G262)-1,Control!$B$7)+1</x:f>
        <x:v>6</x:v>
      </x:c>
      <x:c r="I262" s="73" t="n">
        <x:f>MIN(Control!$B$6,MAX(1,INT(MAX(0,G262)/Control!$B$7)+1))</x:f>
        <x:v>2</x:v>
      </x:c>
      <x:c r="J262" s="73" t="n">
        <x:f>INDEX(Drivers!$H$8:$H$13,B262)</x:f>
        <x:v>1</x:v>
      </x:c>
      <x:c r="K262" s="73" t="n">
        <x:f>IF(J262=1,INDEX(TrackMap!$I$8:$I$141,H262),INDEX(TrackMap!$L$8:$L$141,H262))</x:f>
        <x:v>3111</x:v>
      </x:c>
      <x:c r="L262" s="73" t="str">
        <x:f>INDEX(TrackMap!$F$8:$F$141,H262)</x:f>
        <x:v>←</x:v>
      </x:c>
      <x:c r="M262" s="87" t="n">
        <x:f>MAX(0,G262/Control!$B$17)</x:f>
        <x:v>0.21018654760940317</x:v>
      </x:c>
      <x:c r="N262" s="73" t="n">
        <x:f>IF(N256&gt;0,N256,IF(G262&gt;=Control!$B$17,A262,0))</x:f>
        <x:v>0</x:v>
      </x:c>
      <x:c r="O262" s="91" t="n">
        <x:f>IF(N262&gt;0,Control!$B$17+Control!$B$8+1-N262,G262)-B262/100000</x:f>
        <x:v>140.82495689830012</x:v>
      </x:c>
      <x:c r="P262" s="73" t="n">
        <x:f>COUNTIF($O$260:$O$265,"&gt;"&amp;O262)+1</x:f>
        <x:v>4</x:v>
      </x:c>
      <x:c r="Q262" s="83" t="n">
        <x:f>MAX($G$260:$G$265)-G262</x:f>
        <x:v>8.263313471002164</x:v>
      </x:c>
      <x:c r="R262" s="73" t="str">
        <x:f>INDEX(TrackMap!$B$8:$B$141,H262)</x:f>
        <x:v>发车大直道</x:v>
      </x:c>
    </x:row>
    <x:row r="263" ht="20" customHeight="1">
      <x:c r="A263" s="73" t="n">
        <x:v>42</x:v>
      </x:c>
      <x:c r="B263" s="73" t="n">
        <x:v>4</x:v>
      </x:c>
      <x:c r="C263" s="73" t="str">
        <x:f>INDEX(Drivers!$B$8:$B$13,B263)</x:f>
        <x:v>紫影</x:v>
      </x:c>
      <x:c r="D263" s="83" t="n">
        <x:f>G257</x:f>
        <x:v>143.13213556602713</x:v>
      </x:c>
      <x:c r="E263" s="83" t="str">
        <x:f>IF(A263=0,"GRID",IF(D263&gt;=Control!$B$17,"FINISHED",IF(AND(A263&gt;=INDEX(Drivers!$G$8:$G$13,B263),A263&lt;INDEX(Drivers!$G$8:$G$13,B263)+INDEX(Drivers!$J$8:$J$13,B263)),"PIT",IF(MOD(A263+INDEX(Drivers!$F$8:$F$13,B263),Control!$B$11)&lt;Control!$B$13,"BOOST","RACE"))))</x:f>
        <x:v>BOOST</x:v>
      </x:c>
      <x:c r="F263" s="83" t="n">
        <x:f>IF(OR(E263="GRID",E263="FINISHED",E263="PIT"),0,MAX(Control!$B$15,(INDEX(Drivers!$D$8:$D$13,B263)+INDEX(Drivers!$E$8:$E$13,B263)*SIN((A263+INDEX(Drivers!$F$8:$F$13,B263)+Control!$B$16)*Control!$B$14))*INDEX(TrackMap!$M$8:$M$141,MOD(INT(D263)-1,Control!$B$7)+1)*IF(E263="BOOST",Control!$B$12,1)))</x:f>
        <x:v>4.692439439012373</x:v>
      </x:c>
      <x:c r="G263" s="83" t="n">
        <x:f>IF(A263=0,D263,MIN(Control!$B$17,D263+F263))</x:f>
        <x:v>147.8245750050395</x:v>
      </x:c>
      <x:c r="H263" s="73" t="n">
        <x:f>MOD(INT(G263)-1,Control!$B$7)+1</x:f>
        <x:v>13</x:v>
      </x:c>
      <x:c r="I263" s="73" t="n">
        <x:f>MIN(Control!$B$6,MAX(1,INT(MAX(0,G263)/Control!$B$7)+1))</x:f>
        <x:v>2</x:v>
      </x:c>
      <x:c r="J263" s="73" t="n">
        <x:f>INDEX(Drivers!$H$8:$H$13,B263)</x:f>
        <x:v>2</x:v>
      </x:c>
      <x:c r="K263" s="73" t="n">
        <x:f>IF(J263=1,INDEX(TrackMap!$I$8:$I$141,H263),INDEX(TrackMap!$L$8:$L$141,H263))</x:f>
        <x:v>2904</x:v>
      </x:c>
      <x:c r="L263" s="73" t="str">
        <x:f>INDEX(TrackMap!$F$8:$F$141,H263)</x:f>
        <x:v>↑</x:v>
      </x:c>
      <x:c r="M263" s="87" t="n">
        <x:f>MAX(0,G263/Control!$B$17)</x:f>
        <x:v>0.22063369403737237</x:v>
      </x:c>
      <x:c r="N263" s="73" t="n">
        <x:f>IF(N257&gt;0,N257,IF(G263&gt;=Control!$B$17,A263,0))</x:f>
        <x:v>0</x:v>
      </x:c>
      <x:c r="O263" s="91" t="n">
        <x:f>IF(N263&gt;0,Control!$B$17+Control!$B$8+1-N263,G263)-B263/100000</x:f>
        <x:v>147.82453500503948</x:v>
      </x:c>
      <x:c r="P263" s="73" t="n">
        <x:f>COUNTIF($O$260:$O$265,"&gt;"&amp;O263)+1</x:f>
        <x:v>2</x:v>
      </x:c>
      <x:c r="Q263" s="83" t="n">
        <x:f>MAX($G$260:$G$265)-G263</x:f>
        <x:v>1.2637253642627968</x:v>
      </x:c>
      <x:c r="R263" s="73" t="str">
        <x:f>INDEX(TrackMap!$B$8:$B$141,H263)</x:f>
        <x:v>西侧回弯</x:v>
      </x:c>
    </x:row>
    <x:row r="264" ht="20" customHeight="1">
      <x:c r="A264" s="73" t="n">
        <x:v>42</x:v>
      </x:c>
      <x:c r="B264" s="73" t="n">
        <x:v>5</x:v>
      </x:c>
      <x:c r="C264" s="73" t="str">
        <x:f>INDEX(Drivers!$B$8:$B$13,B264)</x:f>
        <x:v>青锋</x:v>
      </x:c>
      <x:c r="D264" s="83" t="n">
        <x:f>G258</x:f>
        <x:v>136.5914149061938</x:v>
      </x:c>
      <x:c r="E264" s="83" t="str">
        <x:f>IF(A264=0,"GRID",IF(D264&gt;=Control!$B$17,"FINISHED",IF(AND(A264&gt;=INDEX(Drivers!$G$8:$G$13,B264),A264&lt;INDEX(Drivers!$G$8:$G$13,B264)+INDEX(Drivers!$J$8:$J$13,B264)),"PIT",IF(MOD(A264+INDEX(Drivers!$F$8:$F$13,B264),Control!$B$11)&lt;Control!$B$13,"BOOST","RACE"))))</x:f>
        <x:v>RACE</x:v>
      </x:c>
      <x:c r="F264" s="83" t="n">
        <x:f>IF(OR(E264="GRID",E264="FINISHED",E264="PIT"),0,MAX(Control!$B$15,(INDEX(Drivers!$D$8:$D$13,B264)+INDEX(Drivers!$E$8:$E$13,B264)*SIN((A264+INDEX(Drivers!$F$8:$F$13,B264)+Control!$B$16)*Control!$B$14))*INDEX(TrackMap!$M$8:$M$141,MOD(INT(D264)-1,Control!$B$7)+1)*IF(E264="BOOST",Control!$B$12,1)))</x:f>
        <x:v>3.5221850612844854</x:v>
      </x:c>
      <x:c r="G264" s="83" t="n">
        <x:f>IF(A264=0,D264,MIN(Control!$B$17,D264+F264))</x:f>
        <x:v>140.11359996747828</x:v>
      </x:c>
      <x:c r="H264" s="73" t="n">
        <x:f>MOD(INT(G264)-1,Control!$B$7)+1</x:f>
        <x:v>6</x:v>
      </x:c>
      <x:c r="I264" s="73" t="n">
        <x:f>MIN(Control!$B$6,MAX(1,INT(MAX(0,G264)/Control!$B$7)+1))</x:f>
        <x:v>2</x:v>
      </x:c>
      <x:c r="J264" s="73" t="n">
        <x:f>INDEX(Drivers!$H$8:$H$13,B264)</x:f>
        <x:v>1</x:v>
      </x:c>
      <x:c r="K264" s="73" t="n">
        <x:f>IF(J264=1,INDEX(TrackMap!$I$8:$I$141,H264),INDEX(TrackMap!$L$8:$L$141,H264))</x:f>
        <x:v>3111</x:v>
      </x:c>
      <x:c r="L264" s="73" t="str">
        <x:f>INDEX(TrackMap!$F$8:$F$141,H264)</x:f>
        <x:v>←</x:v>
      </x:c>
      <x:c r="M264" s="87" t="n">
        <x:f>MAX(0,G264/Control!$B$17)</x:f>
        <x:v>0.2091247760708631</x:v>
      </x:c>
      <x:c r="N264" s="73" t="n">
        <x:f>IF(N258&gt;0,N258,IF(G264&gt;=Control!$B$17,A264,0))</x:f>
        <x:v>0</x:v>
      </x:c>
      <x:c r="O264" s="91" t="n">
        <x:f>IF(N264&gt;0,Control!$B$17+Control!$B$8+1-N264,G264)-B264/100000</x:f>
        <x:v>140.1135499674783</x:v>
      </x:c>
      <x:c r="P264" s="73" t="n">
        <x:f>COUNTIF($O$260:$O$265,"&gt;"&amp;O264)+1</x:f>
        <x:v>5</x:v>
      </x:c>
      <x:c r="Q264" s="83" t="n">
        <x:f>MAX($G$260:$G$265)-G264</x:f>
        <x:v>8.974700401824009</x:v>
      </x:c>
      <x:c r="R264" s="73" t="str">
        <x:f>INDEX(TrackMap!$B$8:$B$141,H264)</x:f>
        <x:v>发车大直道</x:v>
      </x:c>
    </x:row>
    <x:row r="265" ht="20" customHeight="1">
      <x:c r="A265" s="73" t="n">
        <x:v>42</x:v>
      </x:c>
      <x:c r="B265" s="73" t="n">
        <x:v>6</x:v>
      </x:c>
      <x:c r="C265" s="73" t="str">
        <x:f>INDEX(Drivers!$B$8:$B$13,B265)</x:f>
        <x:v>玫速</x:v>
      </x:c>
      <x:c r="D265" s="83" t="n">
        <x:f>G259</x:f>
        <x:v>131.92067569374655</x:v>
      </x:c>
      <x:c r="E265" s="83" t="str">
        <x:f>IF(A265=0,"GRID",IF(D265&gt;=Control!$B$17,"FINISHED",IF(AND(A265&gt;=INDEX(Drivers!$G$8:$G$13,B265),A265&lt;INDEX(Drivers!$G$8:$G$13,B265)+INDEX(Drivers!$J$8:$J$13,B265)),"PIT",IF(MOD(A265+INDEX(Drivers!$F$8:$F$13,B265),Control!$B$11)&lt;Control!$B$13,"BOOST","RACE"))))</x:f>
        <x:v>RACE</x:v>
      </x:c>
      <x:c r="F265" s="83" t="n">
        <x:f>IF(OR(E265="GRID",E265="FINISHED",E265="PIT"),0,MAX(Control!$B$15,(INDEX(Drivers!$D$8:$D$13,B265)+INDEX(Drivers!$E$8:$E$13,B265)*SIN((A265+INDEX(Drivers!$F$8:$F$13,B265)+Control!$B$16)*Control!$B$14))*INDEX(TrackMap!$M$8:$M$141,MOD(INT(D265)-1,Control!$B$7)+1)*IF(E265="BOOST",Control!$B$12,1)))</x:f>
        <x:v>3.4783579147389805</x:v>
      </x:c>
      <x:c r="G265" s="83" t="n">
        <x:f>IF(A265=0,D265,MIN(Control!$B$17,D265+F265))</x:f>
        <x:v>135.39903360848552</x:v>
      </x:c>
      <x:c r="H265" s="73" t="n">
        <x:f>MOD(INT(G265)-1,Control!$B$7)+1</x:f>
        <x:v>1</x:v>
      </x:c>
      <x:c r="I265" s="73" t="n">
        <x:f>MIN(Control!$B$6,MAX(1,INT(MAX(0,G265)/Control!$B$7)+1))</x:f>
        <x:v>2</x:v>
      </x:c>
      <x:c r="J265" s="73" t="n">
        <x:f>INDEX(Drivers!$H$8:$H$13,B265)</x:f>
        <x:v>2</x:v>
      </x:c>
      <x:c r="K265" s="73" t="n">
        <x:f>IF(J265=1,INDEX(TrackMap!$I$8:$I$141,H265),INDEX(TrackMap!$L$8:$L$141,H265))</x:f>
        <x:v>3016</x:v>
      </x:c>
      <x:c r="L265" s="73" t="str">
        <x:f>INDEX(TrackMap!$F$8:$F$141,H265)</x:f>
        <x:v>←</x:v>
      </x:c>
      <x:c r="M265" s="87" t="n">
        <x:f>MAX(0,G265/Control!$B$17)</x:f>
        <x:v>0.20208810986341122</x:v>
      </x:c>
      <x:c r="N265" s="73" t="n">
        <x:f>IF(N259&gt;0,N259,IF(G265&gt;=Control!$B$17,A265,0))</x:f>
        <x:v>0</x:v>
      </x:c>
      <x:c r="O265" s="91" t="n">
        <x:f>IF(N265&gt;0,Control!$B$17+Control!$B$8+1-N265,G265)-B265/100000</x:f>
        <x:v>135.39897360848553</x:v>
      </x:c>
      <x:c r="P265" s="73" t="n">
        <x:f>COUNTIF($O$260:$O$265,"&gt;"&amp;O265)+1</x:f>
        <x:v>6</x:v>
      </x:c>
      <x:c r="Q265" s="83" t="n">
        <x:f>MAX($G$260:$G$265)-G265</x:f>
        <x:v>13.689266760816764</x:v>
      </x:c>
      <x:c r="R265" s="73" t="str">
        <x:f>INDEX(TrackMap!$B$8:$B$141,H265)</x:f>
        <x:v>发车大直道</x:v>
      </x:c>
    </x:row>
    <x:row r="266" ht="20" customHeight="1">
      <x:c r="A266" s="73" t="n">
        <x:v>43</x:v>
      </x:c>
      <x:c r="B266" s="73" t="n">
        <x:v>1</x:v>
      </x:c>
      <x:c r="C266" s="73" t="str">
        <x:f>INDEX(Drivers!$B$8:$B$13,B266)</x:f>
        <x:v>赤焰</x:v>
      </x:c>
      <x:c r="D266" s="83" t="n">
        <x:f>G260</x:f>
        <x:v>149.0883003693023</x:v>
      </x:c>
      <x:c r="E266" s="83" t="str">
        <x:f>IF(A266=0,"GRID",IF(D266&gt;=Control!$B$17,"FINISHED",IF(AND(A266&gt;=INDEX(Drivers!$G$8:$G$13,B266),A266&lt;INDEX(Drivers!$G$8:$G$13,B266)+INDEX(Drivers!$J$8:$J$13,B266)),"PIT",IF(MOD(A266+INDEX(Drivers!$F$8:$F$13,B266),Control!$B$11)&lt;Control!$B$13,"BOOST","RACE"))))</x:f>
        <x:v>RACE</x:v>
      </x:c>
      <x:c r="F266" s="83" t="n">
        <x:f>IF(OR(E266="GRID",E266="FINISHED",E266="PIT"),0,MAX(Control!$B$15,(INDEX(Drivers!$D$8:$D$13,B266)+INDEX(Drivers!$E$8:$E$13,B266)*SIN((A266+INDEX(Drivers!$F$8:$F$13,B266)+Control!$B$16)*Control!$B$14))*INDEX(TrackMap!$M$8:$M$141,MOD(INT(D266)-1,Control!$B$7)+1)*IF(E266="BOOST",Control!$B$12,1)))</x:f>
        <x:v>3.1833533138083503</x:v>
      </x:c>
      <x:c r="G266" s="83" t="n">
        <x:f>IF(A266=0,D266,MIN(Control!$B$17,D266+F266))</x:f>
        <x:v>152.27165368311063</x:v>
      </x:c>
      <x:c r="H266" s="73" t="n">
        <x:f>MOD(INT(G266)-1,Control!$B$7)+1</x:f>
        <x:v>18</x:v>
      </x:c>
      <x:c r="I266" s="73" t="n">
        <x:f>MIN(Control!$B$6,MAX(1,INT(MAX(0,G266)/Control!$B$7)+1))</x:f>
        <x:v>2</x:v>
      </x:c>
      <x:c r="J266" s="73" t="n">
        <x:f>INDEX(Drivers!$H$8:$H$13,B266)</x:f>
        <x:v>1</x:v>
      </x:c>
      <x:c r="K266" s="73" t="n">
        <x:f>IF(J266=1,INDEX(TrackMap!$I$8:$I$141,H266),INDEX(TrackMap!$L$8:$L$141,H266))</x:f>
        <x:v>2403</x:v>
      </x:c>
      <x:c r="L266" s="73" t="str">
        <x:f>INDEX(TrackMap!$F$8:$F$141,H266)</x:f>
        <x:v>↑</x:v>
      </x:c>
      <x:c r="M266" s="87" t="n">
        <x:f>MAX(0,G266/Control!$B$17)</x:f>
        <x:v>0.22727112490016513</x:v>
      </x:c>
      <x:c r="N266" s="73" t="n">
        <x:f>IF(N260&gt;0,N260,IF(G266&gt;=Control!$B$17,A266,0))</x:f>
        <x:v>0</x:v>
      </x:c>
      <x:c r="O266" s="91" t="n">
        <x:f>IF(N266&gt;0,Control!$B$17+Control!$B$8+1-N266,G266)-B266/100000</x:f>
        <x:v>152.27164368311063</x:v>
      </x:c>
      <x:c r="P266" s="73" t="n">
        <x:f>COUNTIF($O$266:$O$271,"&gt;"&amp;O266)+1</x:f>
        <x:v>1</x:v>
      </x:c>
      <x:c r="Q266" s="83" t="n">
        <x:f>MAX($G$266:$G$271)-G266</x:f>
        <x:v>0</x:v>
      </x:c>
      <x:c r="R266" s="73" t="str">
        <x:f>INDEX(TrackMap!$B$8:$B$141,H266)</x:f>
        <x:v>西侧回弯</x:v>
      </x:c>
    </x:row>
    <x:row r="267" ht="20" customHeight="1">
      <x:c r="A267" s="73" t="n">
        <x:v>43</x:v>
      </x:c>
      <x:c r="B267" s="73" t="n">
        <x:v>2</x:v>
      </x:c>
      <x:c r="C267" s="73" t="str">
        <x:f>INDEX(Drivers!$B$8:$B$13,B267)</x:f>
        <x:v>蓝电</x:v>
      </x:c>
      <x:c r="D267" s="83" t="n">
        <x:f>G261</x:f>
        <x:v>142.1471276563787</x:v>
      </x:c>
      <x:c r="E267" s="83" t="str">
        <x:f>IF(A267=0,"GRID",IF(D267&gt;=Control!$B$17,"FINISHED",IF(AND(A267&gt;=INDEX(Drivers!$G$8:$G$13,B267),A267&lt;INDEX(Drivers!$G$8:$G$13,B267)+INDEX(Drivers!$J$8:$J$13,B267)),"PIT",IF(MOD(A267+INDEX(Drivers!$F$8:$F$13,B267),Control!$B$11)&lt;Control!$B$13,"BOOST","RACE"))))</x:f>
        <x:v>RACE</x:v>
      </x:c>
      <x:c r="F267" s="83" t="n">
        <x:f>IF(OR(E267="GRID",E267="FINISHED",E267="PIT"),0,MAX(Control!$B$15,(INDEX(Drivers!$D$8:$D$13,B267)+INDEX(Drivers!$E$8:$E$13,B267)*SIN((A267+INDEX(Drivers!$F$8:$F$13,B267)+Control!$B$16)*Control!$B$14))*INDEX(TrackMap!$M$8:$M$141,MOD(INT(D267)-1,Control!$B$7)+1)*IF(E267="BOOST",Control!$B$12,1)))</x:f>
        <x:v>2.9841762481064036</x:v>
      </x:c>
      <x:c r="G267" s="83" t="n">
        <x:f>IF(A267=0,D267,MIN(Control!$B$17,D267+F267))</x:f>
        <x:v>145.1313039044851</x:v>
      </x:c>
      <x:c r="H267" s="73" t="n">
        <x:f>MOD(INT(G267)-1,Control!$B$7)+1</x:f>
        <x:v>11</x:v>
      </x:c>
      <x:c r="I267" s="73" t="n">
        <x:f>MIN(Control!$B$6,MAX(1,INT(MAX(0,G267)/Control!$B$7)+1))</x:f>
        <x:v>2</x:v>
      </x:c>
      <x:c r="J267" s="73" t="n">
        <x:f>INDEX(Drivers!$H$8:$H$13,B267)</x:f>
        <x:v>2</x:v>
      </x:c>
      <x:c r="K267" s="73" t="n">
        <x:f>IF(J267=1,INDEX(TrackMap!$I$8:$I$141,H267),INDEX(TrackMap!$L$8:$L$141,H267))</x:f>
        <x:v>3006</x:v>
      </x:c>
      <x:c r="L267" s="73" t="str">
        <x:f>INDEX(TrackMap!$F$8:$F$141,H267)</x:f>
        <x:v>←</x:v>
      </x:c>
      <x:c r="M267" s="87" t="n">
        <x:f>MAX(0,G267/Control!$B$17)</x:f>
        <x:v>0.2166138864246046</x:v>
      </x:c>
      <x:c r="N267" s="73" t="n">
        <x:f>IF(N261&gt;0,N261,IF(G267&gt;=Control!$B$17,A267,0))</x:f>
        <x:v>0</x:v>
      </x:c>
      <x:c r="O267" s="91" t="n">
        <x:f>IF(N267&gt;0,Control!$B$17+Control!$B$8+1-N267,G267)-B267/100000</x:f>
        <x:v>145.1312839044851</x:v>
      </x:c>
      <x:c r="P267" s="73" t="n">
        <x:f>COUNTIF($O$266:$O$271,"&gt;"&amp;O267)+1</x:f>
        <x:v>3</x:v>
      </x:c>
      <x:c r="Q267" s="83" t="n">
        <x:f>MAX($G$266:$G$271)-G267</x:f>
        <x:v>7.140349778625534</x:v>
      </x:c>
      <x:c r="R267" s="73" t="str">
        <x:f>INDEX(TrackMap!$B$8:$B$141,H267)</x:f>
        <x:v>发车大直道</x:v>
      </x:c>
    </x:row>
    <x:row r="268" ht="20" customHeight="1">
      <x:c r="A268" s="73" t="n">
        <x:v>43</x:v>
      </x:c>
      <x:c r="B268" s="73" t="n">
        <x:v>3</x:v>
      </x:c>
      <x:c r="C268" s="73" t="str">
        <x:f>INDEX(Drivers!$B$8:$B$13,B268)</x:f>
        <x:v>金翼</x:v>
      </x:c>
      <x:c r="D268" s="83" t="n">
        <x:f>G262</x:f>
        <x:v>140.82498689830012</x:v>
      </x:c>
      <x:c r="E268" s="83" t="str">
        <x:f>IF(A268=0,"GRID",IF(D268&gt;=Control!$B$17,"FINISHED",IF(AND(A268&gt;=INDEX(Drivers!$G$8:$G$13,B268),A268&lt;INDEX(Drivers!$G$8:$G$13,B268)+INDEX(Drivers!$J$8:$J$13,B268)),"PIT",IF(MOD(A268+INDEX(Drivers!$F$8:$F$13,B268),Control!$B$11)&lt;Control!$B$13,"BOOST","RACE"))))</x:f>
        <x:v>RACE</x:v>
      </x:c>
      <x:c r="F268" s="83" t="n">
        <x:f>IF(OR(E268="GRID",E268="FINISHED",E268="PIT"),0,MAX(Control!$B$15,(INDEX(Drivers!$D$8:$D$13,B268)+INDEX(Drivers!$E$8:$E$13,B268)*SIN((A268+INDEX(Drivers!$F$8:$F$13,B268)+Control!$B$16)*Control!$B$14))*INDEX(TrackMap!$M$8:$M$141,MOD(INT(D268)-1,Control!$B$7)+1)*IF(E268="BOOST",Control!$B$12,1)))</x:f>
        <x:v>4.153742680808297</x:v>
      </x:c>
      <x:c r="G268" s="83" t="n">
        <x:f>IF(A268=0,D268,MIN(Control!$B$17,D268+F268))</x:f>
        <x:v>144.97872957910843</x:v>
      </x:c>
      <x:c r="H268" s="73" t="n">
        <x:f>MOD(INT(G268)-1,Control!$B$7)+1</x:f>
        <x:v>10</x:v>
      </x:c>
      <x:c r="I268" s="73" t="n">
        <x:f>MIN(Control!$B$6,MAX(1,INT(MAX(0,G268)/Control!$B$7)+1))</x:f>
        <x:v>2</x:v>
      </x:c>
      <x:c r="J268" s="73" t="n">
        <x:f>INDEX(Drivers!$H$8:$H$13,B268)</x:f>
        <x:v>1</x:v>
      </x:c>
      <x:c r="K268" s="73" t="n">
        <x:f>IF(J268=1,INDEX(TrackMap!$I$8:$I$141,H268),INDEX(TrackMap!$L$8:$L$141,H268))</x:f>
        <x:v>3107</x:v>
      </x:c>
      <x:c r="L268" s="73" t="str">
        <x:f>INDEX(TrackMap!$F$8:$F$141,H268)</x:f>
        <x:v>←</x:v>
      </x:c>
      <x:c r="M268" s="87" t="n">
        <x:f>MAX(0,G268/Control!$B$17)</x:f>
        <x:v>0.21638616355090812</x:v>
      </x:c>
      <x:c r="N268" s="73" t="n">
        <x:f>IF(N262&gt;0,N262,IF(G268&gt;=Control!$B$17,A268,0))</x:f>
        <x:v>0</x:v>
      </x:c>
      <x:c r="O268" s="91" t="n">
        <x:f>IF(N268&gt;0,Control!$B$17+Control!$B$8+1-N268,G268)-B268/100000</x:f>
        <x:v>144.97869957910842</x:v>
      </x:c>
      <x:c r="P268" s="73" t="n">
        <x:f>COUNTIF($O$266:$O$271,"&gt;"&amp;O268)+1</x:f>
        <x:v>4</x:v>
      </x:c>
      <x:c r="Q268" s="83" t="n">
        <x:f>MAX($G$266:$G$271)-G268</x:f>
        <x:v>7.292924104002196</x:v>
      </x:c>
      <x:c r="R268" s="73" t="str">
        <x:f>INDEX(TrackMap!$B$8:$B$141,H268)</x:f>
        <x:v>发车大直道</x:v>
      </x:c>
    </x:row>
    <x:row r="269" ht="20" customHeight="1">
      <x:c r="A269" s="73" t="n">
        <x:v>43</x:v>
      </x:c>
      <x:c r="B269" s="73" t="n">
        <x:v>4</x:v>
      </x:c>
      <x:c r="C269" s="73" t="str">
        <x:f>INDEX(Drivers!$B$8:$B$13,B269)</x:f>
        <x:v>紫影</x:v>
      </x:c>
      <x:c r="D269" s="83" t="n">
        <x:f>G263</x:f>
        <x:v>147.8245750050395</x:v>
      </x:c>
      <x:c r="E269" s="83" t="str">
        <x:f>IF(A269=0,"GRID",IF(D269&gt;=Control!$B$17,"FINISHED",IF(AND(A269&gt;=INDEX(Drivers!$G$8:$G$13,B269),A269&lt;INDEX(Drivers!$G$8:$G$13,B269)+INDEX(Drivers!$J$8:$J$13,B269)),"PIT",IF(MOD(A269+INDEX(Drivers!$F$8:$F$13,B269),Control!$B$11)&lt;Control!$B$13,"BOOST","RACE"))))</x:f>
        <x:v>RACE</x:v>
      </x:c>
      <x:c r="F269" s="83" t="n">
        <x:f>IF(OR(E269="GRID",E269="FINISHED",E269="PIT"),0,MAX(Control!$B$15,(INDEX(Drivers!$D$8:$D$13,B269)+INDEX(Drivers!$E$8:$E$13,B269)*SIN((A269+INDEX(Drivers!$F$8:$F$13,B269)+Control!$B$16)*Control!$B$14))*INDEX(TrackMap!$M$8:$M$141,MOD(INT(D269)-1,Control!$B$7)+1)*IF(E269="BOOST",Control!$B$12,1)))</x:f>
        <x:v>2.557933814367901</x:v>
      </x:c>
      <x:c r="G269" s="83" t="n">
        <x:f>IF(A269=0,D269,MIN(Control!$B$17,D269+F269))</x:f>
        <x:v>150.3825088194074</x:v>
      </x:c>
      <x:c r="H269" s="73" t="n">
        <x:f>MOD(INT(G269)-1,Control!$B$7)+1</x:f>
        <x:v>16</x:v>
      </x:c>
      <x:c r="I269" s="73" t="n">
        <x:f>MIN(Control!$B$6,MAX(1,INT(MAX(0,G269)/Control!$B$7)+1))</x:f>
        <x:v>2</x:v>
      </x:c>
      <x:c r="J269" s="73" t="n">
        <x:f>INDEX(Drivers!$H$8:$H$13,B269)</x:f>
        <x:v>2</x:v>
      </x:c>
      <x:c r="K269" s="73" t="n">
        <x:f>IF(J269=1,INDEX(TrackMap!$I$8:$I$141,H269),INDEX(TrackMap!$L$8:$L$141,H269))</x:f>
        <x:v>2604</x:v>
      </x:c>
      <x:c r="L269" s="73" t="str">
        <x:f>INDEX(TrackMap!$F$8:$F$141,H269)</x:f>
        <x:v>↑</x:v>
      </x:c>
      <x:c r="M269" s="87" t="n">
        <x:f>MAX(0,G269/Control!$B$17)</x:f>
        <x:v>0.22445150570060807</x:v>
      </x:c>
      <x:c r="N269" s="73" t="n">
        <x:f>IF(N263&gt;0,N263,IF(G269&gt;=Control!$B$17,A269,0))</x:f>
        <x:v>0</x:v>
      </x:c>
      <x:c r="O269" s="91" t="n">
        <x:f>IF(N269&gt;0,Control!$B$17+Control!$B$8+1-N269,G269)-B269/100000</x:f>
        <x:v>150.3824688194074</x:v>
      </x:c>
      <x:c r="P269" s="73" t="n">
        <x:f>COUNTIF($O$266:$O$271,"&gt;"&amp;O269)+1</x:f>
        <x:v>2</x:v>
      </x:c>
      <x:c r="Q269" s="83" t="n">
        <x:f>MAX($G$266:$G$271)-G269</x:f>
        <x:v>1.8891448637032227</x:v>
      </x:c>
      <x:c r="R269" s="73" t="str">
        <x:f>INDEX(TrackMap!$B$8:$B$141,H269)</x:f>
        <x:v>西侧回弯</x:v>
      </x:c>
    </x:row>
    <x:row r="270" ht="20" customHeight="1">
      <x:c r="A270" s="73" t="n">
        <x:v>43</x:v>
      </x:c>
      <x:c r="B270" s="73" t="n">
        <x:v>5</x:v>
      </x:c>
      <x:c r="C270" s="73" t="str">
        <x:f>INDEX(Drivers!$B$8:$B$13,B270)</x:f>
        <x:v>青锋</x:v>
      </x:c>
      <x:c r="D270" s="83" t="n">
        <x:f>G264</x:f>
        <x:v>140.11359996747828</x:v>
      </x:c>
      <x:c r="E270" s="83" t="str">
        <x:f>IF(A270=0,"GRID",IF(D270&gt;=Control!$B$17,"FINISHED",IF(AND(A270&gt;=INDEX(Drivers!$G$8:$G$13,B270),A270&lt;INDEX(Drivers!$G$8:$G$13,B270)+INDEX(Drivers!$J$8:$J$13,B270)),"PIT",IF(MOD(A270+INDEX(Drivers!$F$8:$F$13,B270),Control!$B$11)&lt;Control!$B$13,"BOOST","RACE"))))</x:f>
        <x:v>RACE</x:v>
      </x:c>
      <x:c r="F270" s="83" t="n">
        <x:f>IF(OR(E270="GRID",E270="FINISHED",E270="PIT"),0,MAX(Control!$B$15,(INDEX(Drivers!$D$8:$D$13,B270)+INDEX(Drivers!$E$8:$E$13,B270)*SIN((A270+INDEX(Drivers!$F$8:$F$13,B270)+Control!$B$16)*Control!$B$14))*INDEX(TrackMap!$M$8:$M$141,MOD(INT(D270)-1,Control!$B$7)+1)*IF(E270="BOOST",Control!$B$12,1)))</x:f>
        <x:v>3.3455273256314655</x:v>
      </x:c>
      <x:c r="G270" s="83" t="n">
        <x:f>IF(A270=0,D270,MIN(Control!$B$17,D270+F270))</x:f>
        <x:v>143.45912729310976</x:v>
      </x:c>
      <x:c r="H270" s="73" t="n">
        <x:f>MOD(INT(G270)-1,Control!$B$7)+1</x:f>
        <x:v>9</x:v>
      </x:c>
      <x:c r="I270" s="73" t="n">
        <x:f>MIN(Control!$B$6,MAX(1,INT(MAX(0,G270)/Control!$B$7)+1))</x:f>
        <x:v>2</x:v>
      </x:c>
      <x:c r="J270" s="73" t="n">
        <x:f>INDEX(Drivers!$H$8:$H$13,B270)</x:f>
        <x:v>1</x:v>
      </x:c>
      <x:c r="K270" s="73" t="n">
        <x:f>IF(J270=1,INDEX(TrackMap!$I$8:$I$141,H270),INDEX(TrackMap!$L$8:$L$141,H270))</x:f>
        <x:v>3108</x:v>
      </x:c>
      <x:c r="L270" s="73" t="str">
        <x:f>INDEX(TrackMap!$F$8:$F$141,H270)</x:f>
        <x:v>←</x:v>
      </x:c>
      <x:c r="M270" s="87" t="n">
        <x:f>MAX(0,G270/Control!$B$17)</x:f>
        <x:v>0.21411810043747725</x:v>
      </x:c>
      <x:c r="N270" s="73" t="n">
        <x:f>IF(N264&gt;0,N264,IF(G270&gt;=Control!$B$17,A270,0))</x:f>
        <x:v>0</x:v>
      </x:c>
      <x:c r="O270" s="91" t="n">
        <x:f>IF(N270&gt;0,Control!$B$17+Control!$B$8+1-N270,G270)-B270/100000</x:f>
        <x:v>143.45907729310977</x:v>
      </x:c>
      <x:c r="P270" s="73" t="n">
        <x:f>COUNTIF($O$266:$O$271,"&gt;"&amp;O270)+1</x:f>
        <x:v>5</x:v>
      </x:c>
      <x:c r="Q270" s="83" t="n">
        <x:f>MAX($G$266:$G$271)-G270</x:f>
        <x:v>8.812526390000869</x:v>
      </x:c>
      <x:c r="R270" s="73" t="str">
        <x:f>INDEX(TrackMap!$B$8:$B$141,H270)</x:f>
        <x:v>发车大直道</x:v>
      </x:c>
    </x:row>
    <x:row r="271" ht="20" customHeight="1">
      <x:c r="A271" s="73" t="n">
        <x:v>43</x:v>
      </x:c>
      <x:c r="B271" s="73" t="n">
        <x:v>6</x:v>
      </x:c>
      <x:c r="C271" s="73" t="str">
        <x:f>INDEX(Drivers!$B$8:$B$13,B271)</x:f>
        <x:v>玫速</x:v>
      </x:c>
      <x:c r="D271" s="83" t="n">
        <x:f>G265</x:f>
        <x:v>135.39903360848552</x:v>
      </x:c>
      <x:c r="E271" s="83" t="str">
        <x:f>IF(A271=0,"GRID",IF(D271&gt;=Control!$B$17,"FINISHED",IF(AND(A271&gt;=INDEX(Drivers!$G$8:$G$13,B271),A271&lt;INDEX(Drivers!$G$8:$G$13,B271)+INDEX(Drivers!$J$8:$J$13,B271)),"PIT",IF(MOD(A271+INDEX(Drivers!$F$8:$F$13,B271),Control!$B$11)&lt;Control!$B$13,"BOOST","RACE"))))</x:f>
        <x:v>RACE</x:v>
      </x:c>
      <x:c r="F271" s="83" t="n">
        <x:f>IF(OR(E271="GRID",E271="FINISHED",E271="PIT"),0,MAX(Control!$B$15,(INDEX(Drivers!$D$8:$D$13,B271)+INDEX(Drivers!$E$8:$E$13,B271)*SIN((A271+INDEX(Drivers!$F$8:$F$13,B271)+Control!$B$16)*Control!$B$14))*INDEX(TrackMap!$M$8:$M$141,MOD(INT(D271)-1,Control!$B$7)+1)*IF(E271="BOOST",Control!$B$12,1)))</x:f>
        <x:v>2.8831555251773286</x:v>
      </x:c>
      <x:c r="G271" s="83" t="n">
        <x:f>IF(A271=0,D271,MIN(Control!$B$17,D271+F271))</x:f>
        <x:v>138.28218913366285</x:v>
      </x:c>
      <x:c r="H271" s="73" t="n">
        <x:f>MOD(INT(G271)-1,Control!$B$7)+1</x:f>
        <x:v>4</x:v>
      </x:c>
      <x:c r="I271" s="73" t="n">
        <x:f>MIN(Control!$B$6,MAX(1,INT(MAX(0,G271)/Control!$B$7)+1))</x:f>
        <x:v>2</x:v>
      </x:c>
      <x:c r="J271" s="73" t="n">
        <x:f>INDEX(Drivers!$H$8:$H$13,B271)</x:f>
        <x:v>2</x:v>
      </x:c>
      <x:c r="K271" s="73" t="n">
        <x:f>IF(J271=1,INDEX(TrackMap!$I$8:$I$141,H271),INDEX(TrackMap!$L$8:$L$141,H271))</x:f>
        <x:v>3013</x:v>
      </x:c>
      <x:c r="L271" s="73" t="str">
        <x:f>INDEX(TrackMap!$F$8:$F$141,H271)</x:f>
        <x:v>←</x:v>
      </x:c>
      <x:c r="M271" s="87" t="n">
        <x:f>MAX(0,G271/Control!$B$17)</x:f>
        <x:v>0.20639132706516844</x:v>
      </x:c>
      <x:c r="N271" s="73" t="n">
        <x:f>IF(N265&gt;0,N265,IF(G271&gt;=Control!$B$17,A271,0))</x:f>
        <x:v>0</x:v>
      </x:c>
      <x:c r="O271" s="91" t="n">
        <x:f>IF(N271&gt;0,Control!$B$17+Control!$B$8+1-N271,G271)-B271/100000</x:f>
        <x:v>138.28212913366286</x:v>
      </x:c>
      <x:c r="P271" s="73" t="n">
        <x:f>COUNTIF($O$266:$O$271,"&gt;"&amp;O271)+1</x:f>
        <x:v>6</x:v>
      </x:c>
      <x:c r="Q271" s="83" t="n">
        <x:f>MAX($G$266:$G$271)-G271</x:f>
        <x:v>13.989464549447774</x:v>
      </x:c>
      <x:c r="R271" s="73" t="str">
        <x:f>INDEX(TrackMap!$B$8:$B$141,H271)</x:f>
        <x:v>发车大直道</x:v>
      </x:c>
    </x:row>
    <x:row r="272" ht="20" customHeight="1">
      <x:c r="A272" s="73" t="n">
        <x:v>44</x:v>
      </x:c>
      <x:c r="B272" s="73" t="n">
        <x:v>1</x:v>
      </x:c>
      <x:c r="C272" s="73" t="str">
        <x:f>INDEX(Drivers!$B$8:$B$13,B272)</x:f>
        <x:v>赤焰</x:v>
      </x:c>
      <x:c r="D272" s="83" t="n">
        <x:f>G266</x:f>
        <x:v>152.27165368311063</x:v>
      </x:c>
      <x:c r="E272" s="83" t="str">
        <x:f>IF(A272=0,"GRID",IF(D272&gt;=Control!$B$17,"FINISHED",IF(AND(A272&gt;=INDEX(Drivers!$G$8:$G$13,B272),A272&lt;INDEX(Drivers!$G$8:$G$13,B272)+INDEX(Drivers!$J$8:$J$13,B272)),"PIT",IF(MOD(A272+INDEX(Drivers!$F$8:$F$13,B272),Control!$B$11)&lt;Control!$B$13,"BOOST","RACE"))))</x:f>
        <x:v>RACE</x:v>
      </x:c>
      <x:c r="F272" s="83" t="n">
        <x:f>IF(OR(E272="GRID",E272="FINISHED",E272="PIT"),0,MAX(Control!$B$15,(INDEX(Drivers!$D$8:$D$13,B272)+INDEX(Drivers!$E$8:$E$13,B272)*SIN((A272+INDEX(Drivers!$F$8:$F$13,B272)+Control!$B$16)*Control!$B$14))*INDEX(TrackMap!$M$8:$M$141,MOD(INT(D272)-1,Control!$B$7)+1)*IF(E272="BOOST",Control!$B$12,1)))</x:f>
        <x:v>3.064298798691056</x:v>
      </x:c>
      <x:c r="G272" s="83" t="n">
        <x:f>IF(A272=0,D272,MIN(Control!$B$17,D272+F272))</x:f>
        <x:v>155.33595248180168</x:v>
      </x:c>
      <x:c r="H272" s="73" t="n">
        <x:f>MOD(INT(G272)-1,Control!$B$7)+1</x:f>
        <x:v>21</x:v>
      </x:c>
      <x:c r="I272" s="73" t="n">
        <x:f>MIN(Control!$B$6,MAX(1,INT(MAX(0,G272)/Control!$B$7)+1))</x:f>
        <x:v>2</x:v>
      </x:c>
      <x:c r="J272" s="73" t="n">
        <x:f>INDEX(Drivers!$H$8:$H$13,B272)</x:f>
        <x:v>1</x:v>
      </x:c>
      <x:c r="K272" s="73" t="n">
        <x:f>IF(J272=1,INDEX(TrackMap!$I$8:$I$141,H272),INDEX(TrackMap!$L$8:$L$141,H272))</x:f>
        <x:v>2206</x:v>
      </x:c>
      <x:c r="L272" s="73" t="str">
        <x:f>INDEX(TrackMap!$F$8:$F$141,H272)</x:f>
        <x:v>→</x:v>
      </x:c>
      <x:c r="M272" s="87" t="n">
        <x:f>MAX(0,G272/Control!$B$17)</x:f>
        <x:v>0.23184470519671893</x:v>
      </x:c>
      <x:c r="N272" s="73" t="n">
        <x:f>IF(N266&gt;0,N266,IF(G272&gt;=Control!$B$17,A272,0))</x:f>
        <x:v>0</x:v>
      </x:c>
      <x:c r="O272" s="91" t="n">
        <x:f>IF(N272&gt;0,Control!$B$17+Control!$B$8+1-N272,G272)-B272/100000</x:f>
        <x:v>155.33594248180168</x:v>
      </x:c>
      <x:c r="P272" s="73" t="n">
        <x:f>COUNTIF($O$272:$O$277,"&gt;"&amp;O272)+1</x:f>
        <x:v>1</x:v>
      </x:c>
      <x:c r="Q272" s="83" t="n">
        <x:f>MAX($G$272:$G$277)-G272</x:f>
        <x:v>0</x:v>
      </x:c>
      <x:c r="R272" s="73" t="str">
        <x:f>INDEX(TrackMap!$B$8:$B$141,H272)</x:f>
        <x:v>短直道</x:v>
      </x:c>
    </x:row>
    <x:row r="273" ht="20" customHeight="1">
      <x:c r="A273" s="73" t="n">
        <x:v>44</x:v>
      </x:c>
      <x:c r="B273" s="73" t="n">
        <x:v>2</x:v>
      </x:c>
      <x:c r="C273" s="73" t="str">
        <x:f>INDEX(Drivers!$B$8:$B$13,B273)</x:f>
        <x:v>蓝电</x:v>
      </x:c>
      <x:c r="D273" s="83" t="n">
        <x:f>G267</x:f>
        <x:v>145.1313039044851</x:v>
      </x:c>
      <x:c r="E273" s="83" t="str">
        <x:f>IF(A273=0,"GRID",IF(D273&gt;=Control!$B$17,"FINISHED",IF(AND(A273&gt;=INDEX(Drivers!$G$8:$G$13,B273),A273&lt;INDEX(Drivers!$G$8:$G$13,B273)+INDEX(Drivers!$J$8:$J$13,B273)),"PIT",IF(MOD(A273+INDEX(Drivers!$F$8:$F$13,B273),Control!$B$11)&lt;Control!$B$13,"BOOST","RACE"))))</x:f>
        <x:v>RACE</x:v>
      </x:c>
      <x:c r="F273" s="83" t="n">
        <x:f>IF(OR(E273="GRID",E273="FINISHED",E273="PIT"),0,MAX(Control!$B$15,(INDEX(Drivers!$D$8:$D$13,B273)+INDEX(Drivers!$E$8:$E$13,B273)*SIN((A273+INDEX(Drivers!$F$8:$F$13,B273)+Control!$B$16)*Control!$B$14))*INDEX(TrackMap!$M$8:$M$141,MOD(INT(D273)-1,Control!$B$7)+1)*IF(E273="BOOST",Control!$B$12,1)))</x:f>
        <x:v>3.0500520937279614</x:v>
      </x:c>
      <x:c r="G273" s="83" t="n">
        <x:f>IF(A273=0,D273,MIN(Control!$B$17,D273+F273))</x:f>
        <x:v>148.18135599821306</x:v>
      </x:c>
      <x:c r="H273" s="73" t="n">
        <x:f>MOD(INT(G273)-1,Control!$B$7)+1</x:f>
        <x:v>14</x:v>
      </x:c>
      <x:c r="I273" s="73" t="n">
        <x:f>MIN(Control!$B$6,MAX(1,INT(MAX(0,G273)/Control!$B$7)+1))</x:f>
        <x:v>2</x:v>
      </x:c>
      <x:c r="J273" s="73" t="n">
        <x:f>INDEX(Drivers!$H$8:$H$13,B273)</x:f>
        <x:v>2</x:v>
      </x:c>
      <x:c r="K273" s="73" t="n">
        <x:f>IF(J273=1,INDEX(TrackMap!$I$8:$I$141,H273),INDEX(TrackMap!$L$8:$L$141,H273))</x:f>
        <x:v>2804</x:v>
      </x:c>
      <x:c r="L273" s="73" t="str">
        <x:f>INDEX(TrackMap!$F$8:$F$141,H273)</x:f>
        <x:v>↑</x:v>
      </x:c>
      <x:c r="M273" s="87" t="n">
        <x:f>MAX(0,G273/Control!$B$17)</x:f>
        <x:v>0.22116620298240755</x:v>
      </x:c>
      <x:c r="N273" s="73" t="n">
        <x:f>IF(N267&gt;0,N267,IF(G273&gt;=Control!$B$17,A273,0))</x:f>
        <x:v>0</x:v>
      </x:c>
      <x:c r="O273" s="91" t="n">
        <x:f>IF(N273&gt;0,Control!$B$17+Control!$B$8+1-N273,G273)-B273/100000</x:f>
        <x:v>148.18133599821306</x:v>
      </x:c>
      <x:c r="P273" s="73" t="n">
        <x:f>COUNTIF($O$272:$O$277,"&gt;"&amp;O273)+1</x:f>
        <x:v>4</x:v>
      </x:c>
      <x:c r="Q273" s="83" t="n">
        <x:f>MAX($G$272:$G$277)-G273</x:f>
        <x:v>7.1545964835886195</x:v>
      </x:c>
      <x:c r="R273" s="73" t="str">
        <x:f>INDEX(TrackMap!$B$8:$B$141,H273)</x:f>
        <x:v>西侧回弯</x:v>
      </x:c>
    </x:row>
    <x:row r="274" ht="20" customHeight="1">
      <x:c r="A274" s="73" t="n">
        <x:v>44</x:v>
      </x:c>
      <x:c r="B274" s="73" t="n">
        <x:v>3</x:v>
      </x:c>
      <x:c r="C274" s="73" t="str">
        <x:f>INDEX(Drivers!$B$8:$B$13,B274)</x:f>
        <x:v>金翼</x:v>
      </x:c>
      <x:c r="D274" s="83" t="n">
        <x:f>G268</x:f>
        <x:v>144.97872957910843</x:v>
      </x:c>
      <x:c r="E274" s="83" t="str">
        <x:f>IF(A274=0,"GRID",IF(D274&gt;=Control!$B$17,"FINISHED",IF(AND(A274&gt;=INDEX(Drivers!$G$8:$G$13,B274),A274&lt;INDEX(Drivers!$G$8:$G$13,B274)+INDEX(Drivers!$J$8:$J$13,B274)),"PIT",IF(MOD(A274+INDEX(Drivers!$F$8:$F$13,B274),Control!$B$11)&lt;Control!$B$13,"BOOST","RACE"))))</x:f>
        <x:v>RACE</x:v>
      </x:c>
      <x:c r="F274" s="83" t="n">
        <x:f>IF(OR(E274="GRID",E274="FINISHED",E274="PIT"),0,MAX(Control!$B$15,(INDEX(Drivers!$D$8:$D$13,B274)+INDEX(Drivers!$E$8:$E$13,B274)*SIN((A274+INDEX(Drivers!$F$8:$F$13,B274)+Control!$B$16)*Control!$B$14))*INDEX(TrackMap!$M$8:$M$141,MOD(INT(D274)-1,Control!$B$7)+1)*IF(E274="BOOST",Control!$B$12,1)))</x:f>
        <x:v>4.19899108424621</x:v>
      </x:c>
      <x:c r="G274" s="83" t="n">
        <x:f>IF(A274=0,D274,MIN(Control!$B$17,D274+F274))</x:f>
        <x:v>149.17772066335465</x:v>
      </x:c>
      <x:c r="H274" s="73" t="n">
        <x:f>MOD(INT(G274)-1,Control!$B$7)+1</x:f>
        <x:v>15</x:v>
      </x:c>
      <x:c r="I274" s="73" t="n">
        <x:f>MIN(Control!$B$6,MAX(1,INT(MAX(0,G274)/Control!$B$7)+1))</x:f>
        <x:v>2</x:v>
      </x:c>
      <x:c r="J274" s="73" t="n">
        <x:f>INDEX(Drivers!$H$8:$H$13,B274)</x:f>
        <x:v>1</x:v>
      </x:c>
      <x:c r="K274" s="73" t="n">
        <x:f>IF(J274=1,INDEX(TrackMap!$I$8:$I$141,H274),INDEX(TrackMap!$L$8:$L$141,H274))</x:f>
        <x:v>2703</x:v>
      </x:c>
      <x:c r="L274" s="73" t="str">
        <x:f>INDEX(TrackMap!$F$8:$F$141,H274)</x:f>
        <x:v>↑</x:v>
      </x:c>
      <x:c r="M274" s="87" t="n">
        <x:f>MAX(0,G274/Control!$B$17)</x:f>
        <x:v>0.2226533144229174</x:v>
      </x:c>
      <x:c r="N274" s="73" t="n">
        <x:f>IF(N268&gt;0,N268,IF(G274&gt;=Control!$B$17,A274,0))</x:f>
        <x:v>0</x:v>
      </x:c>
      <x:c r="O274" s="91" t="n">
        <x:f>IF(N274&gt;0,Control!$B$17+Control!$B$8+1-N274,G274)-B274/100000</x:f>
        <x:v>149.17769066335464</x:v>
      </x:c>
      <x:c r="P274" s="73" t="n">
        <x:f>COUNTIF($O$272:$O$277,"&gt;"&amp;O274)+1</x:f>
        <x:v>3</x:v>
      </x:c>
      <x:c r="Q274" s="83" t="n">
        <x:f>MAX($G$272:$G$277)-G274</x:f>
        <x:v>6.158231818447035</x:v>
      </x:c>
      <x:c r="R274" s="73" t="str">
        <x:f>INDEX(TrackMap!$B$8:$B$141,H274)</x:f>
        <x:v>西侧回弯</x:v>
      </x:c>
    </x:row>
    <x:row r="275" ht="20" customHeight="1">
      <x:c r="A275" s="73" t="n">
        <x:v>44</x:v>
      </x:c>
      <x:c r="B275" s="73" t="n">
        <x:v>4</x:v>
      </x:c>
      <x:c r="C275" s="73" t="str">
        <x:f>INDEX(Drivers!$B$8:$B$13,B275)</x:f>
        <x:v>紫影</x:v>
      </x:c>
      <x:c r="D275" s="83" t="n">
        <x:f>G269</x:f>
        <x:v>150.3825088194074</x:v>
      </x:c>
      <x:c r="E275" s="83" t="str">
        <x:f>IF(A275=0,"GRID",IF(D275&gt;=Control!$B$17,"FINISHED",IF(AND(A275&gt;=INDEX(Drivers!$G$8:$G$13,B275),A275&lt;INDEX(Drivers!$G$8:$G$13,B275)+INDEX(Drivers!$J$8:$J$13,B275)),"PIT",IF(MOD(A275+INDEX(Drivers!$F$8:$F$13,B275),Control!$B$11)&lt;Control!$B$13,"BOOST","RACE"))))</x:f>
        <x:v>RACE</x:v>
      </x:c>
      <x:c r="F275" s="83" t="n">
        <x:f>IF(OR(E275="GRID",E275="FINISHED",E275="PIT"),0,MAX(Control!$B$15,(INDEX(Drivers!$D$8:$D$13,B275)+INDEX(Drivers!$E$8:$E$13,B275)*SIN((A275+INDEX(Drivers!$F$8:$F$13,B275)+Control!$B$16)*Control!$B$14))*INDEX(TrackMap!$M$8:$M$141,MOD(INT(D275)-1,Control!$B$7)+1)*IF(E275="BOOST",Control!$B$12,1)))</x:f>
        <x:v>2.4385256824182275</x:v>
      </x:c>
      <x:c r="G275" s="83" t="n">
        <x:f>IF(A275=0,D275,MIN(Control!$B$17,D275+F275))</x:f>
        <x:v>152.82103450182564</x:v>
      </x:c>
      <x:c r="H275" s="73" t="n">
        <x:f>MOD(INT(G275)-1,Control!$B$7)+1</x:f>
        <x:v>18</x:v>
      </x:c>
      <x:c r="I275" s="73" t="n">
        <x:f>MIN(Control!$B$6,MAX(1,INT(MAX(0,G275)/Control!$B$7)+1))</x:f>
        <x:v>2</x:v>
      </x:c>
      <x:c r="J275" s="73" t="n">
        <x:f>INDEX(Drivers!$H$8:$H$13,B275)</x:f>
        <x:v>2</x:v>
      </x:c>
      <x:c r="K275" s="73" t="n">
        <x:f>IF(J275=1,INDEX(TrackMap!$I$8:$I$141,H275),INDEX(TrackMap!$L$8:$L$141,H275))</x:f>
        <x:v>2404</x:v>
      </x:c>
      <x:c r="L275" s="73" t="str">
        <x:f>INDEX(TrackMap!$F$8:$F$141,H275)</x:f>
        <x:v>↑</x:v>
      </x:c>
      <x:c r="M275" s="87" t="n">
        <x:f>MAX(0,G275/Control!$B$17)</x:f>
        <x:v>0.22809109627138155</x:v>
      </x:c>
      <x:c r="N275" s="73" t="n">
        <x:f>IF(N269&gt;0,N269,IF(G275&gt;=Control!$B$17,A275,0))</x:f>
        <x:v>0</x:v>
      </x:c>
      <x:c r="O275" s="91" t="n">
        <x:f>IF(N275&gt;0,Control!$B$17+Control!$B$8+1-N275,G275)-B275/100000</x:f>
        <x:v>152.82099450182562</x:v>
      </x:c>
      <x:c r="P275" s="73" t="n">
        <x:f>COUNTIF($O$272:$O$277,"&gt;"&amp;O275)+1</x:f>
        <x:v>2</x:v>
      </x:c>
      <x:c r="Q275" s="83" t="n">
        <x:f>MAX($G$272:$G$277)-G275</x:f>
        <x:v>2.5149179799760475</x:v>
      </x:c>
      <x:c r="R275" s="73" t="str">
        <x:f>INDEX(TrackMap!$B$8:$B$141,H275)</x:f>
        <x:v>西侧回弯</x:v>
      </x:c>
    </x:row>
    <x:row r="276" ht="20" customHeight="1">
      <x:c r="A276" s="73" t="n">
        <x:v>44</x:v>
      </x:c>
      <x:c r="B276" s="73" t="n">
        <x:v>5</x:v>
      </x:c>
      <x:c r="C276" s="73" t="str">
        <x:f>INDEX(Drivers!$B$8:$B$13,B276)</x:f>
        <x:v>青锋</x:v>
      </x:c>
      <x:c r="D276" s="83" t="n">
        <x:f>G270</x:f>
        <x:v>143.45912729310976</x:v>
      </x:c>
      <x:c r="E276" s="83" t="str">
        <x:f>IF(A276=0,"GRID",IF(D276&gt;=Control!$B$17,"FINISHED",IF(AND(A276&gt;=INDEX(Drivers!$G$8:$G$13,B276),A276&lt;INDEX(Drivers!$G$8:$G$13,B276)+INDEX(Drivers!$J$8:$J$13,B276)),"PIT",IF(MOD(A276+INDEX(Drivers!$F$8:$F$13,B276),Control!$B$11)&lt;Control!$B$13,"BOOST","RACE"))))</x:f>
        <x:v>RACE</x:v>
      </x:c>
      <x:c r="F276" s="83" t="n">
        <x:f>IF(OR(E276="GRID",E276="FINISHED",E276="PIT"),0,MAX(Control!$B$15,(INDEX(Drivers!$D$8:$D$13,B276)+INDEX(Drivers!$E$8:$E$13,B276)*SIN((A276+INDEX(Drivers!$F$8:$F$13,B276)+Control!$B$16)*Control!$B$14))*INDEX(TrackMap!$M$8:$M$141,MOD(INT(D276)-1,Control!$B$7)+1)*IF(E276="BOOST",Control!$B$12,1)))</x:f>
        <x:v>3.2073716319325833</x:v>
      </x:c>
      <x:c r="G276" s="83" t="n">
        <x:f>IF(A276=0,D276,MIN(Control!$B$17,D276+F276))</x:f>
        <x:v>146.66649892504233</x:v>
      </x:c>
      <x:c r="H276" s="73" t="n">
        <x:f>MOD(INT(G276)-1,Control!$B$7)+1</x:f>
        <x:v>12</x:v>
      </x:c>
      <x:c r="I276" s="73" t="n">
        <x:f>MIN(Control!$B$6,MAX(1,INT(MAX(0,G276)/Control!$B$7)+1))</x:f>
        <x:v>2</x:v>
      </x:c>
      <x:c r="J276" s="73" t="n">
        <x:f>INDEX(Drivers!$H$8:$H$13,B276)</x:f>
        <x:v>1</x:v>
      </x:c>
      <x:c r="K276" s="73" t="n">
        <x:f>IF(J276=1,INDEX(TrackMap!$I$8:$I$141,H276),INDEX(TrackMap!$L$8:$L$141,H276))</x:f>
        <x:v>3105</x:v>
      </x:c>
      <x:c r="L276" s="73" t="str">
        <x:f>INDEX(TrackMap!$F$8:$F$141,H276)</x:f>
        <x:v>←</x:v>
      </x:c>
      <x:c r="M276" s="87" t="n">
        <x:f>MAX(0,G276/Control!$B$17)</x:f>
        <x:v>0.2189052222761826</x:v>
      </x:c>
      <x:c r="N276" s="73" t="n">
        <x:f>IF(N270&gt;0,N270,IF(G276&gt;=Control!$B$17,A276,0))</x:f>
        <x:v>0</x:v>
      </x:c>
      <x:c r="O276" s="91" t="n">
        <x:f>IF(N276&gt;0,Control!$B$17+Control!$B$8+1-N276,G276)-B276/100000</x:f>
        <x:v>146.66644892504235</x:v>
      </x:c>
      <x:c r="P276" s="73" t="n">
        <x:f>COUNTIF($O$272:$O$277,"&gt;"&amp;O276)+1</x:f>
        <x:v>5</x:v>
      </x:c>
      <x:c r="Q276" s="83" t="n">
        <x:f>MAX($G$272:$G$277)-G276</x:f>
        <x:v>8.66945355675935</x:v>
      </x:c>
      <x:c r="R276" s="73" t="str">
        <x:f>INDEX(TrackMap!$B$8:$B$141,H276)</x:f>
        <x:v>发车大直道</x:v>
      </x:c>
    </x:row>
    <x:row r="277" ht="20" customHeight="1">
      <x:c r="A277" s="73" t="n">
        <x:v>44</x:v>
      </x:c>
      <x:c r="B277" s="73" t="n">
        <x:v>6</x:v>
      </x:c>
      <x:c r="C277" s="73" t="str">
        <x:f>INDEX(Drivers!$B$8:$B$13,B277)</x:f>
        <x:v>玫速</x:v>
      </x:c>
      <x:c r="D277" s="83" t="n">
        <x:f>G271</x:f>
        <x:v>138.28218913366285</x:v>
      </x:c>
      <x:c r="E277" s="83" t="str">
        <x:f>IF(A277=0,"GRID",IF(D277&gt;=Control!$B$17,"FINISHED",IF(AND(A277&gt;=INDEX(Drivers!$G$8:$G$13,B277),A277&lt;INDEX(Drivers!$G$8:$G$13,B277)+INDEX(Drivers!$J$8:$J$13,B277)),"PIT",IF(MOD(A277+INDEX(Drivers!$F$8:$F$13,B277),Control!$B$11)&lt;Control!$B$13,"BOOST","RACE"))))</x:f>
        <x:v>RACE</x:v>
      </x:c>
      <x:c r="F277" s="83" t="n">
        <x:f>IF(OR(E277="GRID",E277="FINISHED",E277="PIT"),0,MAX(Control!$B$15,(INDEX(Drivers!$D$8:$D$13,B277)+INDEX(Drivers!$E$8:$E$13,B277)*SIN((A277+INDEX(Drivers!$F$8:$F$13,B277)+Control!$B$16)*Control!$B$14))*INDEX(TrackMap!$M$8:$M$141,MOD(INT(D277)-1,Control!$B$7)+1)*IF(E277="BOOST",Control!$B$12,1)))</x:f>
        <x:v>3.9121352261081728</x:v>
      </x:c>
      <x:c r="G277" s="83" t="n">
        <x:f>IF(A277=0,D277,MIN(Control!$B$17,D277+F277))</x:f>
        <x:v>142.19432435977103</x:v>
      </x:c>
      <x:c r="H277" s="73" t="n">
        <x:f>MOD(INT(G277)-1,Control!$B$7)+1</x:f>
        <x:v>8</x:v>
      </x:c>
      <x:c r="I277" s="73" t="n">
        <x:f>MIN(Control!$B$6,MAX(1,INT(MAX(0,G277)/Control!$B$7)+1))</x:f>
        <x:v>2</x:v>
      </x:c>
      <x:c r="J277" s="73" t="n">
        <x:f>INDEX(Drivers!$H$8:$H$13,B277)</x:f>
        <x:v>2</x:v>
      </x:c>
      <x:c r="K277" s="73" t="n">
        <x:f>IF(J277=1,INDEX(TrackMap!$I$8:$I$141,H277),INDEX(TrackMap!$L$8:$L$141,H277))</x:f>
        <x:v>3009</x:v>
      </x:c>
      <x:c r="L277" s="73" t="str">
        <x:f>INDEX(TrackMap!$F$8:$F$141,H277)</x:f>
        <x:v>←</x:v>
      </x:c>
      <x:c r="M277" s="87" t="n">
        <x:f>MAX(0,G277/Control!$B$17)</x:f>
        <x:v>0.21223033486532988</x:v>
      </x:c>
      <x:c r="N277" s="73" t="n">
        <x:f>IF(N271&gt;0,N271,IF(G277&gt;=Control!$B$17,A277,0))</x:f>
        <x:v>0</x:v>
      </x:c>
      <x:c r="O277" s="91" t="n">
        <x:f>IF(N277&gt;0,Control!$B$17+Control!$B$8+1-N277,G277)-B277/100000</x:f>
        <x:v>142.19426435977104</x:v>
      </x:c>
      <x:c r="P277" s="73" t="n">
        <x:f>COUNTIF($O$272:$O$277,"&gt;"&amp;O277)+1</x:f>
        <x:v>6</x:v>
      </x:c>
      <x:c r="Q277" s="83" t="n">
        <x:f>MAX($G$272:$G$277)-G277</x:f>
        <x:v>13.141628122030653</x:v>
      </x:c>
      <x:c r="R277" s="73" t="str">
        <x:f>INDEX(TrackMap!$B$8:$B$141,H277)</x:f>
        <x:v>发车大直道</x:v>
      </x:c>
    </x:row>
    <x:row r="278" ht="20" customHeight="1">
      <x:c r="A278" s="73" t="n">
        <x:v>45</x:v>
      </x:c>
      <x:c r="B278" s="73" t="n">
        <x:v>1</x:v>
      </x:c>
      <x:c r="C278" s="73" t="str">
        <x:f>INDEX(Drivers!$B$8:$B$13,B278)</x:f>
        <x:v>赤焰</x:v>
      </x:c>
      <x:c r="D278" s="83" t="n">
        <x:f>G272</x:f>
        <x:v>155.33595248180168</x:v>
      </x:c>
      <x:c r="E278" s="83" t="str">
        <x:f>IF(A278=0,"GRID",IF(D278&gt;=Control!$B$17,"FINISHED",IF(AND(A278&gt;=INDEX(Drivers!$G$8:$G$13,B278),A278&lt;INDEX(Drivers!$G$8:$G$13,B278)+INDEX(Drivers!$J$8:$J$13,B278)),"PIT",IF(MOD(A278+INDEX(Drivers!$F$8:$F$13,B278),Control!$B$11)&lt;Control!$B$13,"BOOST","RACE"))))</x:f>
        <x:v>RACE</x:v>
      </x:c>
      <x:c r="F278" s="83" t="n">
        <x:f>IF(OR(E278="GRID",E278="FINISHED",E278="PIT"),0,MAX(Control!$B$15,(INDEX(Drivers!$D$8:$D$13,B278)+INDEX(Drivers!$E$8:$E$13,B278)*SIN((A278+INDEX(Drivers!$F$8:$F$13,B278)+Control!$B$16)*Control!$B$14))*INDEX(TrackMap!$M$8:$M$141,MOD(INT(D278)-1,Control!$B$7)+1)*IF(E278="BOOST",Control!$B$12,1)))</x:f>
        <x:v>2.915833910565675</x:v>
      </x:c>
      <x:c r="G278" s="83" t="n">
        <x:f>IF(A278=0,D278,MIN(Control!$B$17,D278+F278))</x:f>
        <x:v>158.25178639236736</x:v>
      </x:c>
      <x:c r="H278" s="73" t="n">
        <x:f>MOD(INT(G278)-1,Control!$B$7)+1</x:f>
        <x:v>24</x:v>
      </x:c>
      <x:c r="I278" s="73" t="n">
        <x:f>MIN(Control!$B$6,MAX(1,INT(MAX(0,G278)/Control!$B$7)+1))</x:f>
        <x:v>2</x:v>
      </x:c>
      <x:c r="J278" s="73" t="n">
        <x:f>INDEX(Drivers!$H$8:$H$13,B278)</x:f>
        <x:v>1</x:v>
      </x:c>
      <x:c r="K278" s="73" t="n">
        <x:f>IF(J278=1,INDEX(TrackMap!$I$8:$I$141,H278),INDEX(TrackMap!$L$8:$L$141,H278))</x:f>
        <x:v>2209</x:v>
      </x:c>
      <x:c r="L278" s="73" t="str">
        <x:f>INDEX(TrackMap!$F$8:$F$141,H278)</x:f>
        <x:v>→</x:v>
      </x:c>
      <x:c r="M278" s="87" t="n">
        <x:f>MAX(0,G278/Control!$B$17)</x:f>
        <x:v>0.236196696108011</x:v>
      </x:c>
      <x:c r="N278" s="73" t="n">
        <x:f>IF(N272&gt;0,N272,IF(G278&gt;=Control!$B$17,A278,0))</x:f>
        <x:v>0</x:v>
      </x:c>
      <x:c r="O278" s="91" t="n">
        <x:f>IF(N278&gt;0,Control!$B$17+Control!$B$8+1-N278,G278)-B278/100000</x:f>
        <x:v>158.25177639236736</x:v>
      </x:c>
      <x:c r="P278" s="73" t="n">
        <x:f>COUNTIF($O$278:$O$283,"&gt;"&amp;O278)+1</x:f>
        <x:v>1</x:v>
      </x:c>
      <x:c r="Q278" s="83" t="n">
        <x:f>MAX($G$278:$G$283)-G278</x:f>
        <x:v>0</x:v>
      </x:c>
      <x:c r="R278" s="73" t="str">
        <x:f>INDEX(TrackMap!$B$8:$B$141,H278)</x:f>
        <x:v>短直道</x:v>
      </x:c>
    </x:row>
    <x:row r="279" ht="20" customHeight="1">
      <x:c r="A279" s="73" t="n">
        <x:v>45</x:v>
      </x:c>
      <x:c r="B279" s="73" t="n">
        <x:v>2</x:v>
      </x:c>
      <x:c r="C279" s="73" t="str">
        <x:f>INDEX(Drivers!$B$8:$B$13,B279)</x:f>
        <x:v>蓝电</x:v>
      </x:c>
      <x:c r="D279" s="83" t="n">
        <x:f>G273</x:f>
        <x:v>148.18135599821306</x:v>
      </x:c>
      <x:c r="E279" s="83" t="str">
        <x:f>IF(A279=0,"GRID",IF(D279&gt;=Control!$B$17,"FINISHED",IF(AND(A279&gt;=INDEX(Drivers!$G$8:$G$13,B279),A279&lt;INDEX(Drivers!$G$8:$G$13,B279)+INDEX(Drivers!$J$8:$J$13,B279)),"PIT",IF(MOD(A279+INDEX(Drivers!$F$8:$F$13,B279),Control!$B$11)&lt;Control!$B$13,"BOOST","RACE"))))</x:f>
        <x:v>RACE</x:v>
      </x:c>
      <x:c r="F279" s="83" t="n">
        <x:f>IF(OR(E279="GRID",E279="FINISHED",E279="PIT"),0,MAX(Control!$B$15,(INDEX(Drivers!$D$8:$D$13,B279)+INDEX(Drivers!$E$8:$E$13,B279)*SIN((A279+INDEX(Drivers!$F$8:$F$13,B279)+Control!$B$16)*Control!$B$14))*INDEX(TrackMap!$M$8:$M$141,MOD(INT(D279)-1,Control!$B$7)+1)*IF(E279="BOOST",Control!$B$12,1)))</x:f>
        <x:v>2.486370043845031</x:v>
      </x:c>
      <x:c r="G279" s="83" t="n">
        <x:f>IF(A279=0,D279,MIN(Control!$B$17,D279+F279))</x:f>
        <x:v>150.6677260420581</x:v>
      </x:c>
      <x:c r="H279" s="73" t="n">
        <x:f>MOD(INT(G279)-1,Control!$B$7)+1</x:f>
        <x:v>16</x:v>
      </x:c>
      <x:c r="I279" s="73" t="n">
        <x:f>MIN(Control!$B$6,MAX(1,INT(MAX(0,G279)/Control!$B$7)+1))</x:f>
        <x:v>2</x:v>
      </x:c>
      <x:c r="J279" s="73" t="n">
        <x:f>INDEX(Drivers!$H$8:$H$13,B279)</x:f>
        <x:v>2</x:v>
      </x:c>
      <x:c r="K279" s="73" t="n">
        <x:f>IF(J279=1,INDEX(TrackMap!$I$8:$I$141,H279),INDEX(TrackMap!$L$8:$L$141,H279))</x:f>
        <x:v>2604</x:v>
      </x:c>
      <x:c r="L279" s="73" t="str">
        <x:f>INDEX(TrackMap!$F$8:$F$141,H279)</x:f>
        <x:v>↑</x:v>
      </x:c>
      <x:c r="M279" s="87" t="n">
        <x:f>MAX(0,G279/Control!$B$17)</x:f>
        <x:v>0.2248772030478479</x:v>
      </x:c>
      <x:c r="N279" s="73" t="n">
        <x:f>IF(N273&gt;0,N273,IF(G279&gt;=Control!$B$17,A279,0))</x:f>
        <x:v>0</x:v>
      </x:c>
      <x:c r="O279" s="91" t="n">
        <x:f>IF(N279&gt;0,Control!$B$17+Control!$B$8+1-N279,G279)-B279/100000</x:f>
        <x:v>150.6677060420581</x:v>
      </x:c>
      <x:c r="P279" s="73" t="n">
        <x:f>COUNTIF($O$278:$O$283,"&gt;"&amp;O279)+1</x:f>
        <x:v>4</x:v>
      </x:c>
      <x:c r="Q279" s="83" t="n">
        <x:f>MAX($G$278:$G$283)-G279</x:f>
        <x:v>7.584060350309272</x:v>
      </x:c>
      <x:c r="R279" s="73" t="str">
        <x:f>INDEX(TrackMap!$B$8:$B$141,H279)</x:f>
        <x:v>西侧回弯</x:v>
      </x:c>
    </x:row>
    <x:row r="280" ht="20" customHeight="1">
      <x:c r="A280" s="73" t="n">
        <x:v>45</x:v>
      </x:c>
      <x:c r="B280" s="73" t="n">
        <x:v>3</x:v>
      </x:c>
      <x:c r="C280" s="73" t="str">
        <x:f>INDEX(Drivers!$B$8:$B$13,B280)</x:f>
        <x:v>金翼</x:v>
      </x:c>
      <x:c r="D280" s="83" t="n">
        <x:f>G274</x:f>
        <x:v>149.17772066335465</x:v>
      </x:c>
      <x:c r="E280" s="83" t="str">
        <x:f>IF(A280=0,"GRID",IF(D280&gt;=Control!$B$17,"FINISHED",IF(AND(A280&gt;=INDEX(Drivers!$G$8:$G$13,B280),A280&lt;INDEX(Drivers!$G$8:$G$13,B280)+INDEX(Drivers!$J$8:$J$13,B280)),"PIT",IF(MOD(A280+INDEX(Drivers!$F$8:$F$13,B280),Control!$B$11)&lt;Control!$B$13,"BOOST","RACE"))))</x:f>
        <x:v>BOOST</x:v>
      </x:c>
      <x:c r="F280" s="83" t="n">
        <x:f>IF(OR(E280="GRID",E280="FINISHED",E280="PIT"),0,MAX(Control!$B$15,(INDEX(Drivers!$D$8:$D$13,B280)+INDEX(Drivers!$E$8:$E$13,B280)*SIN((A280+INDEX(Drivers!$F$8:$F$13,B280)+Control!$B$16)*Control!$B$14))*INDEX(TrackMap!$M$8:$M$141,MOD(INT(D280)-1,Control!$B$7)+1)*IF(E280="BOOST",Control!$B$12,1)))</x:f>
        <x:v>4.39806866472553</x:v>
      </x:c>
      <x:c r="G280" s="83" t="n">
        <x:f>IF(A280=0,D280,MIN(Control!$B$17,D280+F280))</x:f>
        <x:v>153.5757893280802</x:v>
      </x:c>
      <x:c r="H280" s="73" t="n">
        <x:f>MOD(INT(G280)-1,Control!$B$7)+1</x:f>
        <x:v>19</x:v>
      </x:c>
      <x:c r="I280" s="73" t="n">
        <x:f>MIN(Control!$B$6,MAX(1,INT(MAX(0,G280)/Control!$B$7)+1))</x:f>
        <x:v>2</x:v>
      </x:c>
      <x:c r="J280" s="73" t="n">
        <x:f>INDEX(Drivers!$H$8:$H$13,B280)</x:f>
        <x:v>1</x:v>
      </x:c>
      <x:c r="K280" s="73" t="n">
        <x:f>IF(J280=1,INDEX(TrackMap!$I$8:$I$141,H280),INDEX(TrackMap!$L$8:$L$141,H280))</x:f>
        <x:v>2303</x:v>
      </x:c>
      <x:c r="L280" s="73" t="str">
        <x:f>INDEX(TrackMap!$F$8:$F$141,H280)</x:f>
        <x:v>↑</x:v>
      </x:c>
      <x:c r="M280" s="87" t="n">
        <x:f>MAX(0,G280/Control!$B$17)</x:f>
        <x:v>0.22921759601206</x:v>
      </x:c>
      <x:c r="N280" s="73" t="n">
        <x:f>IF(N274&gt;0,N274,IF(G280&gt;=Control!$B$17,A280,0))</x:f>
        <x:v>0</x:v>
      </x:c>
      <x:c r="O280" s="91" t="n">
        <x:f>IF(N280&gt;0,Control!$B$17+Control!$B$8+1-N280,G280)-B280/100000</x:f>
        <x:v>153.57575932808018</x:v>
      </x:c>
      <x:c r="P280" s="73" t="n">
        <x:f>COUNTIF($O$278:$O$283,"&gt;"&amp;O280)+1</x:f>
        <x:v>3</x:v>
      </x:c>
      <x:c r="Q280" s="83" t="n">
        <x:f>MAX($G$278:$G$283)-G280</x:f>
        <x:v>4.6759970642871735</x:v>
      </x:c>
      <x:c r="R280" s="73" t="str">
        <x:f>INDEX(TrackMap!$B$8:$B$141,H280)</x:f>
        <x:v>西侧回弯</x:v>
      </x:c>
    </x:row>
    <x:row r="281" ht="20" customHeight="1">
      <x:c r="A281" s="73" t="n">
        <x:v>45</x:v>
      </x:c>
      <x:c r="B281" s="73" t="n">
        <x:v>4</x:v>
      </x:c>
      <x:c r="C281" s="73" t="str">
        <x:f>INDEX(Drivers!$B$8:$B$13,B281)</x:f>
        <x:v>紫影</x:v>
      </x:c>
      <x:c r="D281" s="83" t="n">
        <x:f>G275</x:f>
        <x:v>152.82103450182564</x:v>
      </x:c>
      <x:c r="E281" s="83" t="str">
        <x:f>IF(A281=0,"GRID",IF(D281&gt;=Control!$B$17,"FINISHED",IF(AND(A281&gt;=INDEX(Drivers!$G$8:$G$13,B281),A281&lt;INDEX(Drivers!$G$8:$G$13,B281)+INDEX(Drivers!$J$8:$J$13,B281)),"PIT",IF(MOD(A281+INDEX(Drivers!$F$8:$F$13,B281),Control!$B$11)&lt;Control!$B$13,"BOOST","RACE"))))</x:f>
        <x:v>RACE</x:v>
      </x:c>
      <x:c r="F281" s="83" t="n">
        <x:f>IF(OR(E281="GRID",E281="FINISHED",E281="PIT"),0,MAX(Control!$B$15,(INDEX(Drivers!$D$8:$D$13,B281)+INDEX(Drivers!$E$8:$E$13,B281)*SIN((A281+INDEX(Drivers!$F$8:$F$13,B281)+Control!$B$16)*Control!$B$14))*INDEX(TrackMap!$M$8:$M$141,MOD(INT(D281)-1,Control!$B$7)+1)*IF(E281="BOOST",Control!$B$12,1)))</x:f>
        <x:v>2.3691241660708693</x:v>
      </x:c>
      <x:c r="G281" s="83" t="n">
        <x:f>IF(A281=0,D281,MIN(Control!$B$17,D281+F281))</x:f>
        <x:v>155.1901586678965</x:v>
      </x:c>
      <x:c r="H281" s="73" t="n">
        <x:f>MOD(INT(G281)-1,Control!$B$7)+1</x:f>
        <x:v>21</x:v>
      </x:c>
      <x:c r="I281" s="73" t="n">
        <x:f>MIN(Control!$B$6,MAX(1,INT(MAX(0,G281)/Control!$B$7)+1))</x:f>
        <x:v>2</x:v>
      </x:c>
      <x:c r="J281" s="73" t="n">
        <x:f>INDEX(Drivers!$H$8:$H$13,B281)</x:f>
        <x:v>2</x:v>
      </x:c>
      <x:c r="K281" s="73" t="n">
        <x:f>IF(J281=1,INDEX(TrackMap!$I$8:$I$141,H281),INDEX(TrackMap!$L$8:$L$141,H281))</x:f>
        <x:v>2106</x:v>
      </x:c>
      <x:c r="L281" s="73" t="str">
        <x:f>INDEX(TrackMap!$F$8:$F$141,H281)</x:f>
        <x:v>→</x:v>
      </x:c>
      <x:c r="M281" s="87" t="n">
        <x:f>MAX(0,G281/Control!$B$17)</x:f>
        <x:v>0.23162710248939775</x:v>
      </x:c>
      <x:c r="N281" s="73" t="n">
        <x:f>IF(N275&gt;0,N275,IF(G281&gt;=Control!$B$17,A281,0))</x:f>
        <x:v>0</x:v>
      </x:c>
      <x:c r="O281" s="91" t="n">
        <x:f>IF(N281&gt;0,Control!$B$17+Control!$B$8+1-N281,G281)-B281/100000</x:f>
        <x:v>155.19011866789648</x:v>
      </x:c>
      <x:c r="P281" s="73" t="n">
        <x:f>COUNTIF($O$278:$O$283,"&gt;"&amp;O281)+1</x:f>
        <x:v>2</x:v>
      </x:c>
      <x:c r="Q281" s="83" t="n">
        <x:f>MAX($G$278:$G$283)-G281</x:f>
        <x:v>3.061627724470867</x:v>
      </x:c>
      <x:c r="R281" s="73" t="str">
        <x:f>INDEX(TrackMap!$B$8:$B$141,H281)</x:f>
        <x:v>短直道</x:v>
      </x:c>
    </x:row>
    <x:row r="282" ht="20" customHeight="1">
      <x:c r="A282" s="73" t="n">
        <x:v>45</x:v>
      </x:c>
      <x:c r="B282" s="73" t="n">
        <x:v>5</x:v>
      </x:c>
      <x:c r="C282" s="73" t="str">
        <x:f>INDEX(Drivers!$B$8:$B$13,B282)</x:f>
        <x:v>青锋</x:v>
      </x:c>
      <x:c r="D282" s="83" t="n">
        <x:f>G276</x:f>
        <x:v>146.66649892504233</x:v>
      </x:c>
      <x:c r="E282" s="83" t="str">
        <x:f>IF(A282=0,"GRID",IF(D282&gt;=Control!$B$17,"FINISHED",IF(AND(A282&gt;=INDEX(Drivers!$G$8:$G$13,B282),A282&lt;INDEX(Drivers!$G$8:$G$13,B282)+INDEX(Drivers!$J$8:$J$13,B282)),"PIT",IF(MOD(A282+INDEX(Drivers!$F$8:$F$13,B282),Control!$B$11)&lt;Control!$B$13,"BOOST","RACE"))))</x:f>
        <x:v>RACE</x:v>
      </x:c>
      <x:c r="F282" s="83" t="n">
        <x:f>IF(OR(E282="GRID",E282="FINISHED",E282="PIT"),0,MAX(Control!$B$15,(INDEX(Drivers!$D$8:$D$13,B282)+INDEX(Drivers!$E$8:$E$13,B282)*SIN((A282+INDEX(Drivers!$F$8:$F$13,B282)+Control!$B$16)*Control!$B$14))*INDEX(TrackMap!$M$8:$M$141,MOD(INT(D282)-1,Control!$B$7)+1)*IF(E282="BOOST",Control!$B$12,1)))</x:f>
        <x:v>2.4386050300656144</x:v>
      </x:c>
      <x:c r="G282" s="83" t="n">
        <x:f>IF(A282=0,D282,MIN(Control!$B$17,D282+F282))</x:f>
        <x:v>149.10510395510795</x:v>
      </x:c>
      <x:c r="H282" s="73" t="n">
        <x:f>MOD(INT(G282)-1,Control!$B$7)+1</x:f>
        <x:v>15</x:v>
      </x:c>
      <x:c r="I282" s="73" t="n">
        <x:f>MIN(Control!$B$6,MAX(1,INT(MAX(0,G282)/Control!$B$7)+1))</x:f>
        <x:v>2</x:v>
      </x:c>
      <x:c r="J282" s="73" t="n">
        <x:f>INDEX(Drivers!$H$8:$H$13,B282)</x:f>
        <x:v>1</x:v>
      </x:c>
      <x:c r="K282" s="73" t="n">
        <x:f>IF(J282=1,INDEX(TrackMap!$I$8:$I$141,H282),INDEX(TrackMap!$L$8:$L$141,H282))</x:f>
        <x:v>2703</x:v>
      </x:c>
      <x:c r="L282" s="73" t="str">
        <x:f>INDEX(TrackMap!$F$8:$F$141,H282)</x:f>
        <x:v>↑</x:v>
      </x:c>
      <x:c r="M282" s="87" t="n">
        <x:f>MAX(0,G282/Control!$B$17)</x:f>
        <x:v>0.22254493127628053</x:v>
      </x:c>
      <x:c r="N282" s="73" t="n">
        <x:f>IF(N276&gt;0,N276,IF(G282&gt;=Control!$B$17,A282,0))</x:f>
        <x:v>0</x:v>
      </x:c>
      <x:c r="O282" s="91" t="n">
        <x:f>IF(N282&gt;0,Control!$B$17+Control!$B$8+1-N282,G282)-B282/100000</x:f>
        <x:v>149.10505395510796</x:v>
      </x:c>
      <x:c r="P282" s="73" t="n">
        <x:f>COUNTIF($O$278:$O$283,"&gt;"&amp;O282)+1</x:f>
        <x:v>5</x:v>
      </x:c>
      <x:c r="Q282" s="83" t="n">
        <x:f>MAX($G$278:$G$283)-G282</x:f>
        <x:v>9.146682437259415</x:v>
      </x:c>
      <x:c r="R282" s="73" t="str">
        <x:f>INDEX(TrackMap!$B$8:$B$141,H282)</x:f>
        <x:v>西侧回弯</x:v>
      </x:c>
    </x:row>
    <x:row r="283" ht="20" customHeight="1">
      <x:c r="A283" s="73" t="n">
        <x:v>45</x:v>
      </x:c>
      <x:c r="B283" s="73" t="n">
        <x:v>6</x:v>
      </x:c>
      <x:c r="C283" s="73" t="str">
        <x:f>INDEX(Drivers!$B$8:$B$13,B283)</x:f>
        <x:v>玫速</x:v>
      </x:c>
      <x:c r="D283" s="83" t="n">
        <x:f>G277</x:f>
        <x:v>142.19432435977103</x:v>
      </x:c>
      <x:c r="E283" s="83" t="str">
        <x:f>IF(A283=0,"GRID",IF(D283&gt;=Control!$B$17,"FINISHED",IF(AND(A283&gt;=INDEX(Drivers!$G$8:$G$13,B283),A283&lt;INDEX(Drivers!$G$8:$G$13,B283)+INDEX(Drivers!$J$8:$J$13,B283)),"PIT",IF(MOD(A283+INDEX(Drivers!$F$8:$F$13,B283),Control!$B$11)&lt;Control!$B$13,"BOOST","RACE"))))</x:f>
        <x:v>RACE</x:v>
      </x:c>
      <x:c r="F283" s="83" t="n">
        <x:f>IF(OR(E283="GRID",E283="FINISHED",E283="PIT"),0,MAX(Control!$B$15,(INDEX(Drivers!$D$8:$D$13,B283)+INDEX(Drivers!$E$8:$E$13,B283)*SIN((A283+INDEX(Drivers!$F$8:$F$13,B283)+Control!$B$16)*Control!$B$14))*INDEX(TrackMap!$M$8:$M$141,MOD(INT(D283)-1,Control!$B$7)+1)*IF(E283="BOOST",Control!$B$12,1)))</x:f>
        <x:v>4.096498800951346</x:v>
      </x:c>
      <x:c r="G283" s="83" t="n">
        <x:f>IF(A283=0,D283,MIN(Control!$B$17,D283+F283))</x:f>
        <x:v>146.29082316072237</x:v>
      </x:c>
      <x:c r="H283" s="73" t="n">
        <x:f>MOD(INT(G283)-1,Control!$B$7)+1</x:f>
        <x:v>12</x:v>
      </x:c>
      <x:c r="I283" s="73" t="n">
        <x:f>MIN(Control!$B$6,MAX(1,INT(MAX(0,G283)/Control!$B$7)+1))</x:f>
        <x:v>2</x:v>
      </x:c>
      <x:c r="J283" s="73" t="n">
        <x:f>INDEX(Drivers!$H$8:$H$13,B283)</x:f>
        <x:v>2</x:v>
      </x:c>
      <x:c r="K283" s="73" t="n">
        <x:f>IF(J283=1,INDEX(TrackMap!$I$8:$I$141,H283),INDEX(TrackMap!$L$8:$L$141,H283))</x:f>
        <x:v>3005</x:v>
      </x:c>
      <x:c r="L283" s="73" t="str">
        <x:f>INDEX(TrackMap!$F$8:$F$141,H283)</x:f>
        <x:v>←</x:v>
      </x:c>
      <x:c r="M283" s="87" t="n">
        <x:f>MAX(0,G283/Control!$B$17)</x:f>
        <x:v>0.21834451218018264</x:v>
      </x:c>
      <x:c r="N283" s="73" t="n">
        <x:f>IF(N277&gt;0,N277,IF(G283&gt;=Control!$B$17,A283,0))</x:f>
        <x:v>0</x:v>
      </x:c>
      <x:c r="O283" s="91" t="n">
        <x:f>IF(N283&gt;0,Control!$B$17+Control!$B$8+1-N283,G283)-B283/100000</x:f>
        <x:v>146.29076316072238</x:v>
      </x:c>
      <x:c r="P283" s="73" t="n">
        <x:f>COUNTIF($O$278:$O$283,"&gt;"&amp;O283)+1</x:f>
        <x:v>6</x:v>
      </x:c>
      <x:c r="Q283" s="83" t="n">
        <x:f>MAX($G$278:$G$283)-G283</x:f>
        <x:v>11.960963231644996</x:v>
      </x:c>
      <x:c r="R283" s="73" t="str">
        <x:f>INDEX(TrackMap!$B$8:$B$141,H283)</x:f>
        <x:v>发车大直道</x:v>
      </x:c>
    </x:row>
    <x:row r="284" ht="20" customHeight="1">
      <x:c r="A284" s="73" t="n">
        <x:v>46</x:v>
      </x:c>
      <x:c r="B284" s="73" t="n">
        <x:v>1</x:v>
      </x:c>
      <x:c r="C284" s="73" t="str">
        <x:f>INDEX(Drivers!$B$8:$B$13,B284)</x:f>
        <x:v>赤焰</x:v>
      </x:c>
      <x:c r="D284" s="83" t="n">
        <x:f>G278</x:f>
        <x:v>158.25178639236736</x:v>
      </x:c>
      <x:c r="E284" s="83" t="str">
        <x:f>IF(A284=0,"GRID",IF(D284&gt;=Control!$B$17,"FINISHED",IF(AND(A284&gt;=INDEX(Drivers!$G$8:$G$13,B284),A284&lt;INDEX(Drivers!$G$8:$G$13,B284)+INDEX(Drivers!$J$8:$J$13,B284)),"PIT",IF(MOD(A284+INDEX(Drivers!$F$8:$F$13,B284),Control!$B$11)&lt;Control!$B$13,"BOOST","RACE"))))</x:f>
        <x:v>RACE</x:v>
      </x:c>
      <x:c r="F284" s="83" t="n">
        <x:f>IF(OR(E284="GRID",E284="FINISHED",E284="PIT"),0,MAX(Control!$B$15,(INDEX(Drivers!$D$8:$D$13,B284)+INDEX(Drivers!$E$8:$E$13,B284)*SIN((A284+INDEX(Drivers!$F$8:$F$13,B284)+Control!$B$16)*Control!$B$14))*INDEX(TrackMap!$M$8:$M$141,MOD(INT(D284)-1,Control!$B$7)+1)*IF(E284="BOOST",Control!$B$12,1)))</x:f>
        <x:v>2.7580526755597004</x:v>
      </x:c>
      <x:c r="G284" s="83" t="n">
        <x:f>IF(A284=0,D284,MIN(Control!$B$17,D284+F284))</x:f>
        <x:v>161.00983906792706</x:v>
      </x:c>
      <x:c r="H284" s="73" t="n">
        <x:f>MOD(INT(G284)-1,Control!$B$7)+1</x:f>
        <x:v>27</x:v>
      </x:c>
      <x:c r="I284" s="73" t="n">
        <x:f>MIN(Control!$B$6,MAX(1,INT(MAX(0,G284)/Control!$B$7)+1))</x:f>
        <x:v>2</x:v>
      </x:c>
      <x:c r="J284" s="73" t="n">
        <x:f>INDEX(Drivers!$H$8:$H$13,B284)</x:f>
        <x:v>1</x:v>
      </x:c>
      <x:c r="K284" s="73" t="n">
        <x:f>IF(J284=1,INDEX(TrackMap!$I$8:$I$141,H284),INDEX(TrackMap!$L$8:$L$141,H284))</x:f>
        <x:v>1810</x:v>
      </x:c>
      <x:c r="L284" s="73" t="str">
        <x:f>INDEX(TrackMap!$F$8:$F$141,H284)</x:f>
        <x:v>↑</x:v>
      </x:c>
      <x:c r="M284" s="87" t="n">
        <x:f>MAX(0,G284/Control!$B$17)</x:f>
        <x:v>0.2403131926386971</x:v>
      </x:c>
      <x:c r="N284" s="73" t="n">
        <x:f>IF(N278&gt;0,N278,IF(G284&gt;=Control!$B$17,A284,0))</x:f>
        <x:v>0</x:v>
      </x:c>
      <x:c r="O284" s="91" t="n">
        <x:f>IF(N284&gt;0,Control!$B$17+Control!$B$8+1-N284,G284)-B284/100000</x:f>
        <x:v>161.00982906792706</x:v>
      </x:c>
      <x:c r="P284" s="73" t="n">
        <x:f>COUNTIF($O$284:$O$289,"&gt;"&amp;O284)+1</x:f>
        <x:v>1</x:v>
      </x:c>
      <x:c r="Q284" s="83" t="n">
        <x:f>MAX($G$284:$G$289)-G284</x:f>
        <x:v>0</x:v>
      </x:c>
      <x:c r="R284" s="73" t="str">
        <x:f>INDEX(TrackMap!$B$8:$B$141,H284)</x:f>
        <x:v>西侧上坡弯</x:v>
      </x:c>
    </x:row>
    <x:row r="285" ht="20" customHeight="1">
      <x:c r="A285" s="73" t="n">
        <x:v>46</x:v>
      </x:c>
      <x:c r="B285" s="73" t="n">
        <x:v>2</x:v>
      </x:c>
      <x:c r="C285" s="73" t="str">
        <x:f>INDEX(Drivers!$B$8:$B$13,B285)</x:f>
        <x:v>蓝电</x:v>
      </x:c>
      <x:c r="D285" s="83" t="n">
        <x:f>G279</x:f>
        <x:v>150.6677260420581</x:v>
      </x:c>
      <x:c r="E285" s="83" t="str">
        <x:f>IF(A285=0,"GRID",IF(D285&gt;=Control!$B$17,"FINISHED",IF(AND(A285&gt;=INDEX(Drivers!$G$8:$G$13,B285),A285&lt;INDEX(Drivers!$G$8:$G$13,B285)+INDEX(Drivers!$J$8:$J$13,B285)),"PIT",IF(MOD(A285+INDEX(Drivers!$F$8:$F$13,B285),Control!$B$11)&lt;Control!$B$13,"BOOST","RACE"))))</x:f>
        <x:v>RACE</x:v>
      </x:c>
      <x:c r="F285" s="83" t="n">
        <x:f>IF(OR(E285="GRID",E285="FINISHED",E285="PIT"),0,MAX(Control!$B$15,(INDEX(Drivers!$D$8:$D$13,B285)+INDEX(Drivers!$E$8:$E$13,B285)*SIN((A285+INDEX(Drivers!$F$8:$F$13,B285)+Control!$B$16)*Control!$B$14))*INDEX(TrackMap!$M$8:$M$141,MOD(INT(D285)-1,Control!$B$7)+1)*IF(E285="BOOST",Control!$B$12,1)))</x:f>
        <x:v>2.635119173496405</x:v>
      </x:c>
      <x:c r="G285" s="83" t="n">
        <x:f>IF(A285=0,D285,MIN(Control!$B$17,D285+F285))</x:f>
        <x:v>153.3028452155545</x:v>
      </x:c>
      <x:c r="H285" s="73" t="n">
        <x:f>MOD(INT(G285)-1,Control!$B$7)+1</x:f>
        <x:v>19</x:v>
      </x:c>
      <x:c r="I285" s="73" t="n">
        <x:f>MIN(Control!$B$6,MAX(1,INT(MAX(0,G285)/Control!$B$7)+1))</x:f>
        <x:v>2</x:v>
      </x:c>
      <x:c r="J285" s="73" t="n">
        <x:f>INDEX(Drivers!$H$8:$H$13,B285)</x:f>
        <x:v>2</x:v>
      </x:c>
      <x:c r="K285" s="73" t="n">
        <x:f>IF(J285=1,INDEX(TrackMap!$I$8:$I$141,H285),INDEX(TrackMap!$L$8:$L$141,H285))</x:f>
        <x:v>2304</x:v>
      </x:c>
      <x:c r="L285" s="73" t="str">
        <x:f>INDEX(TrackMap!$F$8:$F$141,H285)</x:f>
        <x:v>↑</x:v>
      </x:c>
      <x:c r="M285" s="87" t="n">
        <x:f>MAX(0,G285/Control!$B$17)</x:f>
        <x:v>0.2288102167396336</x:v>
      </x:c>
      <x:c r="N285" s="73" t="n">
        <x:f>IF(N279&gt;0,N279,IF(G285&gt;=Control!$B$17,A285,0))</x:f>
        <x:v>0</x:v>
      </x:c>
      <x:c r="O285" s="91" t="n">
        <x:f>IF(N285&gt;0,Control!$B$17+Control!$B$8+1-N285,G285)-B285/100000</x:f>
        <x:v>153.3028252155545</x:v>
      </x:c>
      <x:c r="P285" s="73" t="n">
        <x:f>COUNTIF($O$284:$O$289,"&gt;"&amp;O285)+1</x:f>
        <x:v>4</x:v>
      </x:c>
      <x:c r="Q285" s="83" t="n">
        <x:f>MAX($G$284:$G$289)-G285</x:f>
        <x:v>7.7069938523725625</x:v>
      </x:c>
      <x:c r="R285" s="73" t="str">
        <x:f>INDEX(TrackMap!$B$8:$B$141,H285)</x:f>
        <x:v>西侧回弯</x:v>
      </x:c>
    </x:row>
    <x:row r="286" ht="20" customHeight="1">
      <x:c r="A286" s="73" t="n">
        <x:v>46</x:v>
      </x:c>
      <x:c r="B286" s="73" t="n">
        <x:v>3</x:v>
      </x:c>
      <x:c r="C286" s="73" t="str">
        <x:f>INDEX(Drivers!$B$8:$B$13,B286)</x:f>
        <x:v>金翼</x:v>
      </x:c>
      <x:c r="D286" s="83" t="n">
        <x:f>G280</x:f>
        <x:v>153.5757893280802</x:v>
      </x:c>
      <x:c r="E286" s="83" t="str">
        <x:f>IF(A286=0,"GRID",IF(D286&gt;=Control!$B$17,"FINISHED",IF(AND(A286&gt;=INDEX(Drivers!$G$8:$G$13,B286),A286&lt;INDEX(Drivers!$G$8:$G$13,B286)+INDEX(Drivers!$J$8:$J$13,B286)),"PIT",IF(MOD(A286+INDEX(Drivers!$F$8:$F$13,B286),Control!$B$11)&lt;Control!$B$13,"BOOST","RACE"))))</x:f>
        <x:v>BOOST</x:v>
      </x:c>
      <x:c r="F286" s="83" t="n">
        <x:f>IF(OR(E286="GRID",E286="FINISHED",E286="PIT"),0,MAX(Control!$B$15,(INDEX(Drivers!$D$8:$D$13,B286)+INDEX(Drivers!$E$8:$E$13,B286)*SIN((A286+INDEX(Drivers!$F$8:$F$13,B286)+Control!$B$16)*Control!$B$14))*INDEX(TrackMap!$M$8:$M$141,MOD(INT(D286)-1,Control!$B$7)+1)*IF(E286="BOOST",Control!$B$12,1)))</x:f>
        <x:v>4.3066606138106565</x:v>
      </x:c>
      <x:c r="G286" s="83" t="n">
        <x:f>IF(A286=0,D286,MIN(Control!$B$17,D286+F286))</x:f>
        <x:v>157.88244994189085</x:v>
      </x:c>
      <x:c r="H286" s="73" t="n">
        <x:f>MOD(INT(G286)-1,Control!$B$7)+1</x:f>
        <x:v>23</x:v>
      </x:c>
      <x:c r="I286" s="73" t="n">
        <x:f>MIN(Control!$B$6,MAX(1,INT(MAX(0,G286)/Control!$B$7)+1))</x:f>
        <x:v>2</x:v>
      </x:c>
      <x:c r="J286" s="73" t="n">
        <x:f>INDEX(Drivers!$H$8:$H$13,B286)</x:f>
        <x:v>1</x:v>
      </x:c>
      <x:c r="K286" s="73" t="n">
        <x:f>IF(J286=1,INDEX(TrackMap!$I$8:$I$141,H286),INDEX(TrackMap!$L$8:$L$141,H286))</x:f>
        <x:v>2208</x:v>
      </x:c>
      <x:c r="L286" s="73" t="str">
        <x:f>INDEX(TrackMap!$F$8:$F$141,H286)</x:f>
        <x:v>→</x:v>
      </x:c>
      <x:c r="M286" s="87" t="n">
        <x:f>MAX(0,G286/Control!$B$17)</x:f>
        <x:v>0.23564544767446396</x:v>
      </x:c>
      <x:c r="N286" s="73" t="n">
        <x:f>IF(N280&gt;0,N280,IF(G286&gt;=Control!$B$17,A286,0))</x:f>
        <x:v>0</x:v>
      </x:c>
      <x:c r="O286" s="91" t="n">
        <x:f>IF(N286&gt;0,Control!$B$17+Control!$B$8+1-N286,G286)-B286/100000</x:f>
        <x:v>157.88241994189084</x:v>
      </x:c>
      <x:c r="P286" s="73" t="n">
        <x:f>COUNTIF($O$284:$O$289,"&gt;"&amp;O286)+1</x:f>
        <x:v>2</x:v>
      </x:c>
      <x:c r="Q286" s="83" t="n">
        <x:f>MAX($G$284:$G$289)-G286</x:f>
        <x:v>3.1273891260362063</x:v>
      </x:c>
      <x:c r="R286" s="73" t="str">
        <x:f>INDEX(TrackMap!$B$8:$B$141,H286)</x:f>
        <x:v>短直道</x:v>
      </x:c>
    </x:row>
    <x:row r="287" ht="20" customHeight="1">
      <x:c r="A287" s="73" t="n">
        <x:v>46</x:v>
      </x:c>
      <x:c r="B287" s="73" t="n">
        <x:v>4</x:v>
      </x:c>
      <x:c r="C287" s="73" t="str">
        <x:f>INDEX(Drivers!$B$8:$B$13,B287)</x:f>
        <x:v>紫影</x:v>
      </x:c>
      <x:c r="D287" s="83" t="n">
        <x:f>G281</x:f>
        <x:v>155.1901586678965</x:v>
      </x:c>
      <x:c r="E287" s="83" t="str">
        <x:f>IF(A287=0,"GRID",IF(D287&gt;=Control!$B$17,"FINISHED",IF(AND(A287&gt;=INDEX(Drivers!$G$8:$G$13,B287),A287&lt;INDEX(Drivers!$G$8:$G$13,B287)+INDEX(Drivers!$J$8:$J$13,B287)),"PIT",IF(MOD(A287+INDEX(Drivers!$F$8:$F$13,B287),Control!$B$11)&lt;Control!$B$13,"BOOST","RACE"))))</x:f>
        <x:v>RACE</x:v>
      </x:c>
      <x:c r="F287" s="83" t="n">
        <x:f>IF(OR(E287="GRID",E287="FINISHED",E287="PIT"),0,MAX(Control!$B$15,(INDEX(Drivers!$D$8:$D$13,B287)+INDEX(Drivers!$E$8:$E$13,B287)*SIN((A287+INDEX(Drivers!$F$8:$F$13,B287)+Control!$B$16)*Control!$B$14))*INDEX(TrackMap!$M$8:$M$141,MOD(INT(D287)-1,Control!$B$7)+1)*IF(E287="BOOST",Control!$B$12,1)))</x:f>
        <x:v>2.3591224349862103</x:v>
      </x:c>
      <x:c r="G287" s="83" t="n">
        <x:f>IF(A287=0,D287,MIN(Control!$B$17,D287+F287))</x:f>
        <x:v>157.5492811028827</x:v>
      </x:c>
      <x:c r="H287" s="73" t="n">
        <x:f>MOD(INT(G287)-1,Control!$B$7)+1</x:f>
        <x:v>23</x:v>
      </x:c>
      <x:c r="I287" s="73" t="n">
        <x:f>MIN(Control!$B$6,MAX(1,INT(MAX(0,G287)/Control!$B$7)+1))</x:f>
        <x:v>2</x:v>
      </x:c>
      <x:c r="J287" s="73" t="n">
        <x:f>INDEX(Drivers!$H$8:$H$13,B287)</x:f>
        <x:v>2</x:v>
      </x:c>
      <x:c r="K287" s="73" t="n">
        <x:f>IF(J287=1,INDEX(TrackMap!$I$8:$I$141,H287),INDEX(TrackMap!$L$8:$L$141,H287))</x:f>
        <x:v>2108</x:v>
      </x:c>
      <x:c r="L287" s="73" t="str">
        <x:f>INDEX(TrackMap!$F$8:$F$141,H287)</x:f>
        <x:v>→</x:v>
      </x:c>
      <x:c r="M287" s="87" t="n">
        <x:f>MAX(0,G287/Control!$B$17)</x:f>
        <x:v>0.2351481807505712</x:v>
      </x:c>
      <x:c r="N287" s="73" t="n">
        <x:f>IF(N281&gt;0,N281,IF(G287&gt;=Control!$B$17,A287,0))</x:f>
        <x:v>0</x:v>
      </x:c>
      <x:c r="O287" s="91" t="n">
        <x:f>IF(N287&gt;0,Control!$B$17+Control!$B$8+1-N287,G287)-B287/100000</x:f>
        <x:v>157.5492411028827</x:v>
      </x:c>
      <x:c r="P287" s="73" t="n">
        <x:f>COUNTIF($O$284:$O$289,"&gt;"&amp;O287)+1</x:f>
        <x:v>3</x:v>
      </x:c>
      <x:c r="Q287" s="83" t="n">
        <x:f>MAX($G$284:$G$289)-G287</x:f>
        <x:v>3.4605579650443588</x:v>
      </x:c>
      <x:c r="R287" s="73" t="str">
        <x:f>INDEX(TrackMap!$B$8:$B$141,H287)</x:f>
        <x:v>短直道</x:v>
      </x:c>
    </x:row>
    <x:row r="288" ht="20" customHeight="1">
      <x:c r="A288" s="73" t="n">
        <x:v>46</x:v>
      </x:c>
      <x:c r="B288" s="73" t="n">
        <x:v>5</x:v>
      </x:c>
      <x:c r="C288" s="73" t="str">
        <x:f>INDEX(Drivers!$B$8:$B$13,B288)</x:f>
        <x:v>青锋</x:v>
      </x:c>
      <x:c r="D288" s="83" t="n">
        <x:f>G282</x:f>
        <x:v>149.10510395510795</x:v>
      </x:c>
      <x:c r="E288" s="83" t="str">
        <x:f>IF(A288=0,"GRID",IF(D288&gt;=Control!$B$17,"FINISHED",IF(AND(A288&gt;=INDEX(Drivers!$G$8:$G$13,B288),A288&lt;INDEX(Drivers!$G$8:$G$13,B288)+INDEX(Drivers!$J$8:$J$13,B288)),"PIT",IF(MOD(A288+INDEX(Drivers!$F$8:$F$13,B288),Control!$B$11)&lt;Control!$B$13,"BOOST","RACE"))))</x:f>
        <x:v>RACE</x:v>
      </x:c>
      <x:c r="F288" s="83" t="n">
        <x:f>IF(OR(E288="GRID",E288="FINISHED",E288="PIT"),0,MAX(Control!$B$15,(INDEX(Drivers!$D$8:$D$13,B288)+INDEX(Drivers!$E$8:$E$13,B288)*SIN((A288+INDEX(Drivers!$F$8:$F$13,B288)+Control!$B$16)*Control!$B$14))*INDEX(TrackMap!$M$8:$M$141,MOD(INT(D288)-1,Control!$B$7)+1)*IF(E288="BOOST",Control!$B$12,1)))</x:f>
        <x:v>2.428623143719929</x:v>
      </x:c>
      <x:c r="G288" s="83" t="n">
        <x:f>IF(A288=0,D288,MIN(Control!$B$17,D288+F288))</x:f>
        <x:v>151.53372709882788</x:v>
      </x:c>
      <x:c r="H288" s="73" t="n">
        <x:f>MOD(INT(G288)-1,Control!$B$7)+1</x:f>
        <x:v>17</x:v>
      </x:c>
      <x:c r="I288" s="73" t="n">
        <x:f>MIN(Control!$B$6,MAX(1,INT(MAX(0,G288)/Control!$B$7)+1))</x:f>
        <x:v>2</x:v>
      </x:c>
      <x:c r="J288" s="73" t="n">
        <x:f>INDEX(Drivers!$H$8:$H$13,B288)</x:f>
        <x:v>1</x:v>
      </x:c>
      <x:c r="K288" s="73" t="n">
        <x:f>IF(J288=1,INDEX(TrackMap!$I$8:$I$141,H288),INDEX(TrackMap!$L$8:$L$141,H288))</x:f>
        <x:v>2503</x:v>
      </x:c>
      <x:c r="L288" s="73" t="str">
        <x:f>INDEX(TrackMap!$F$8:$F$141,H288)</x:f>
        <x:v>↑</x:v>
      </x:c>
      <x:c r="M288" s="87" t="n">
        <x:f>MAX(0,G288/Control!$B$17)</x:f>
        <x:v>0.22616974193854908</x:v>
      </x:c>
      <x:c r="N288" s="73" t="n">
        <x:f>IF(N282&gt;0,N282,IF(G288&gt;=Control!$B$17,A288,0))</x:f>
        <x:v>0</x:v>
      </x:c>
      <x:c r="O288" s="91" t="n">
        <x:f>IF(N288&gt;0,Control!$B$17+Control!$B$8+1-N288,G288)-B288/100000</x:f>
        <x:v>151.5336770988279</x:v>
      </x:c>
      <x:c r="P288" s="73" t="n">
        <x:f>COUNTIF($O$284:$O$289,"&gt;"&amp;O288)+1</x:f>
        <x:v>5</x:v>
      </x:c>
      <x:c r="Q288" s="83" t="n">
        <x:f>MAX($G$284:$G$289)-G288</x:f>
        <x:v>9.476111969099179</x:v>
      </x:c>
      <x:c r="R288" s="73" t="str">
        <x:f>INDEX(TrackMap!$B$8:$B$141,H288)</x:f>
        <x:v>西侧回弯</x:v>
      </x:c>
    </x:row>
    <x:row r="289" ht="20" customHeight="1">
      <x:c r="A289" s="73" t="n">
        <x:v>46</x:v>
      </x:c>
      <x:c r="B289" s="73" t="n">
        <x:v>6</x:v>
      </x:c>
      <x:c r="C289" s="73" t="str">
        <x:f>INDEX(Drivers!$B$8:$B$13,B289)</x:f>
        <x:v>玫速</x:v>
      </x:c>
      <x:c r="D289" s="83" t="n">
        <x:f>G283</x:f>
        <x:v>146.29082316072237</x:v>
      </x:c>
      <x:c r="E289" s="83" t="str">
        <x:f>IF(A289=0,"GRID",IF(D289&gt;=Control!$B$17,"FINISHED",IF(AND(A289&gt;=INDEX(Drivers!$G$8:$G$13,B289),A289&lt;INDEX(Drivers!$G$8:$G$13,B289)+INDEX(Drivers!$J$8:$J$13,B289)),"PIT",IF(MOD(A289+INDEX(Drivers!$F$8:$F$13,B289),Control!$B$11)&lt;Control!$B$13,"BOOST","RACE"))))</x:f>
        <x:v>RACE</x:v>
      </x:c>
      <x:c r="F289" s="83" t="n">
        <x:f>IF(OR(E289="GRID",E289="FINISHED",E289="PIT"),0,MAX(Control!$B$15,(INDEX(Drivers!$D$8:$D$13,B289)+INDEX(Drivers!$E$8:$E$13,B289)*SIN((A289+INDEX(Drivers!$F$8:$F$13,B289)+Control!$B$16)*Control!$B$14))*INDEX(TrackMap!$M$8:$M$141,MOD(INT(D289)-1,Control!$B$7)+1)*IF(E289="BOOST",Control!$B$12,1)))</x:f>
        <x:v>3.2951031492365668</x:v>
      </x:c>
      <x:c r="G289" s="83" t="n">
        <x:f>IF(A289=0,D289,MIN(Control!$B$17,D289+F289))</x:f>
        <x:v>149.58592630995892</x:v>
      </x:c>
      <x:c r="H289" s="73" t="n">
        <x:f>MOD(INT(G289)-1,Control!$B$7)+1</x:f>
        <x:v>15</x:v>
      </x:c>
      <x:c r="I289" s="73" t="n">
        <x:f>MIN(Control!$B$6,MAX(1,INT(MAX(0,G289)/Control!$B$7)+1))</x:f>
        <x:v>2</x:v>
      </x:c>
      <x:c r="J289" s="73" t="n">
        <x:f>INDEX(Drivers!$H$8:$H$13,B289)</x:f>
        <x:v>2</x:v>
      </x:c>
      <x:c r="K289" s="73" t="n">
        <x:f>IF(J289=1,INDEX(TrackMap!$I$8:$I$141,H289),INDEX(TrackMap!$L$8:$L$141,H289))</x:f>
        <x:v>2704</x:v>
      </x:c>
      <x:c r="L289" s="73" t="str">
        <x:f>INDEX(TrackMap!$F$8:$F$141,H289)</x:f>
        <x:v>↑</x:v>
      </x:c>
      <x:c r="M289" s="87" t="n">
        <x:f>MAX(0,G289/Control!$B$17)</x:f>
        <x:v>0.22326257658202825</x:v>
      </x:c>
      <x:c r="N289" s="73" t="n">
        <x:f>IF(N283&gt;0,N283,IF(G289&gt;=Control!$B$17,A289,0))</x:f>
        <x:v>0</x:v>
      </x:c>
      <x:c r="O289" s="91" t="n">
        <x:f>IF(N289&gt;0,Control!$B$17+Control!$B$8+1-N289,G289)-B289/100000</x:f>
        <x:v>149.58586630995893</x:v>
      </x:c>
      <x:c r="P289" s="73" t="n">
        <x:f>COUNTIF($O$284:$O$289,"&gt;"&amp;O289)+1</x:f>
        <x:v>6</x:v>
      </x:c>
      <x:c r="Q289" s="83" t="n">
        <x:f>MAX($G$284:$G$289)-G289</x:f>
        <x:v>11.42391275796814</x:v>
      </x:c>
      <x:c r="R289" s="73" t="str">
        <x:f>INDEX(TrackMap!$B$8:$B$141,H289)</x:f>
        <x:v>西侧回弯</x:v>
      </x:c>
    </x:row>
    <x:row r="290" ht="20" customHeight="1">
      <x:c r="A290" s="73" t="n">
        <x:v>47</x:v>
      </x:c>
      <x:c r="B290" s="73" t="n">
        <x:v>1</x:v>
      </x:c>
      <x:c r="C290" s="73" t="str">
        <x:f>INDEX(Drivers!$B$8:$B$13,B290)</x:f>
        <x:v>赤焰</x:v>
      </x:c>
      <x:c r="D290" s="83" t="n">
        <x:f>G284</x:f>
        <x:v>161.00983906792706</x:v>
      </x:c>
      <x:c r="E290" s="83" t="str">
        <x:f>IF(A290=0,"GRID",IF(D290&gt;=Control!$B$17,"FINISHED",IF(AND(A290&gt;=INDEX(Drivers!$G$8:$G$13,B290),A290&lt;INDEX(Drivers!$G$8:$G$13,B290)+INDEX(Drivers!$J$8:$J$13,B290)),"PIT",IF(MOD(A290+INDEX(Drivers!$F$8:$F$13,B290),Control!$B$11)&lt;Control!$B$13,"BOOST","RACE"))))</x:f>
        <x:v>RACE</x:v>
      </x:c>
      <x:c r="F290" s="83" t="n">
        <x:f>IF(OR(E290="GRID",E290="FINISHED",E290="PIT"),0,MAX(Control!$B$15,(INDEX(Drivers!$D$8:$D$13,B290)+INDEX(Drivers!$E$8:$E$13,B290)*SIN((A290+INDEX(Drivers!$F$8:$F$13,B290)+Control!$B$16)*Control!$B$14))*INDEX(TrackMap!$M$8:$M$141,MOD(INT(D290)-1,Control!$B$7)+1)*IF(E290="BOOST",Control!$B$12,1)))</x:f>
        <x:v>2.6123100436459588</x:v>
      </x:c>
      <x:c r="G290" s="83" t="n">
        <x:f>IF(A290=0,D290,MIN(Control!$B$17,D290+F290))</x:f>
        <x:v>163.622149111573</x:v>
      </x:c>
      <x:c r="H290" s="73" t="n">
        <x:f>MOD(INT(G290)-1,Control!$B$7)+1</x:f>
        <x:v>29</x:v>
      </x:c>
      <x:c r="I290" s="73" t="n">
        <x:f>MIN(Control!$B$6,MAX(1,INT(MAX(0,G290)/Control!$B$7)+1))</x:f>
        <x:v>2</x:v>
      </x:c>
      <x:c r="J290" s="73" t="n">
        <x:f>INDEX(Drivers!$H$8:$H$13,B290)</x:f>
        <x:v>1</x:v>
      </x:c>
      <x:c r="K290" s="73" t="n">
        <x:f>IF(J290=1,INDEX(TrackMap!$I$8:$I$141,H290),INDEX(TrackMap!$L$8:$L$141,H290))</x:f>
        <x:v>1610</x:v>
      </x:c>
      <x:c r="L290" s="73" t="str">
        <x:f>INDEX(TrackMap!$F$8:$F$141,H290)</x:f>
        <x:v>↑</x:v>
      </x:c>
      <x:c r="M290" s="87" t="n">
        <x:f>MAX(0,G290/Control!$B$17)</x:f>
        <x:v>0.24421216285309405</x:v>
      </x:c>
      <x:c r="N290" s="73" t="n">
        <x:f>IF(N284&gt;0,N284,IF(G290&gt;=Control!$B$17,A290,0))</x:f>
        <x:v>0</x:v>
      </x:c>
      <x:c r="O290" s="91" t="n">
        <x:f>IF(N290&gt;0,Control!$B$17+Control!$B$8+1-N290,G290)-B290/100000</x:f>
        <x:v>163.622139111573</x:v>
      </x:c>
      <x:c r="P290" s="73" t="n">
        <x:f>COUNTIF($O$290:$O$295,"&gt;"&amp;O290)+1</x:f>
        <x:v>1</x:v>
      </x:c>
      <x:c r="Q290" s="83" t="n">
        <x:f>MAX($G$290:$G$295)-G290</x:f>
        <x:v>0</x:v>
      </x:c>
      <x:c r="R290" s="73" t="str">
        <x:f>INDEX(TrackMap!$B$8:$B$141,H290)</x:f>
        <x:v>西侧上坡弯</x:v>
      </x:c>
    </x:row>
    <x:row r="291" ht="20" customHeight="1">
      <x:c r="A291" s="73" t="n">
        <x:v>47</x:v>
      </x:c>
      <x:c r="B291" s="73" t="n">
        <x:v>2</x:v>
      </x:c>
      <x:c r="C291" s="73" t="str">
        <x:f>INDEX(Drivers!$B$8:$B$13,B291)</x:f>
        <x:v>蓝电</x:v>
      </x:c>
      <x:c r="D291" s="83" t="n">
        <x:f>G285</x:f>
        <x:v>153.3028452155545</x:v>
      </x:c>
      <x:c r="E291" s="83" t="str">
        <x:f>IF(A291=0,"GRID",IF(D291&gt;=Control!$B$17,"FINISHED",IF(AND(A291&gt;=INDEX(Drivers!$G$8:$G$13,B291),A291&lt;INDEX(Drivers!$G$8:$G$13,B291)+INDEX(Drivers!$J$8:$J$13,B291)),"PIT",IF(MOD(A291+INDEX(Drivers!$F$8:$F$13,B291),Control!$B$11)&lt;Control!$B$13,"BOOST","RACE"))))</x:f>
        <x:v>RACE</x:v>
      </x:c>
      <x:c r="F291" s="83" t="n">
        <x:f>IF(OR(E291="GRID",E291="FINISHED",E291="PIT"),0,MAX(Control!$B$15,(INDEX(Drivers!$D$8:$D$13,B291)+INDEX(Drivers!$E$8:$E$13,B291)*SIN((A291+INDEX(Drivers!$F$8:$F$13,B291)+Control!$B$16)*Control!$B$14))*INDEX(TrackMap!$M$8:$M$141,MOD(INT(D291)-1,Control!$B$7)+1)*IF(E291="BOOST",Control!$B$12,1)))</x:f>
        <x:v>2.8051555251773284</x:v>
      </x:c>
      <x:c r="G291" s="83" t="n">
        <x:f>IF(A291=0,D291,MIN(Control!$B$17,D291+F291))</x:f>
        <x:v>156.10800074073182</x:v>
      </x:c>
      <x:c r="H291" s="73" t="n">
        <x:f>MOD(INT(G291)-1,Control!$B$7)+1</x:f>
        <x:v>22</x:v>
      </x:c>
      <x:c r="I291" s="73" t="n">
        <x:f>MIN(Control!$B$6,MAX(1,INT(MAX(0,G291)/Control!$B$7)+1))</x:f>
        <x:v>2</x:v>
      </x:c>
      <x:c r="J291" s="73" t="n">
        <x:f>INDEX(Drivers!$H$8:$H$13,B291)</x:f>
        <x:v>2</x:v>
      </x:c>
      <x:c r="K291" s="73" t="n">
        <x:f>IF(J291=1,INDEX(TrackMap!$I$8:$I$141,H291),INDEX(TrackMap!$L$8:$L$141,H291))</x:f>
        <x:v>2107</x:v>
      </x:c>
      <x:c r="L291" s="73" t="str">
        <x:f>INDEX(TrackMap!$F$8:$F$141,H291)</x:f>
        <x:v>→</x:v>
      </x:c>
      <x:c r="M291" s="87" t="n">
        <x:f>MAX(0,G291/Control!$B$17)</x:f>
        <x:v>0.23299701603094303</x:v>
      </x:c>
      <x:c r="N291" s="73" t="n">
        <x:f>IF(N285&gt;0,N285,IF(G291&gt;=Control!$B$17,A291,0))</x:f>
        <x:v>0</x:v>
      </x:c>
      <x:c r="O291" s="91" t="n">
        <x:f>IF(N291&gt;0,Control!$B$17+Control!$B$8+1-N291,G291)-B291/100000</x:f>
        <x:v>156.10798074073182</x:v>
      </x:c>
      <x:c r="P291" s="73" t="n">
        <x:f>COUNTIF($O$290:$O$295,"&gt;"&amp;O291)+1</x:f>
        <x:v>4</x:v>
      </x:c>
      <x:c r="Q291" s="83" t="n">
        <x:f>MAX($G$290:$G$295)-G291</x:f>
        <x:v>7.514148370841184</x:v>
      </x:c>
      <x:c r="R291" s="73" t="str">
        <x:f>INDEX(TrackMap!$B$8:$B$141,H291)</x:f>
        <x:v>短直道</x:v>
      </x:c>
    </x:row>
    <x:row r="292" ht="20" customHeight="1">
      <x:c r="A292" s="73" t="n">
        <x:v>47</x:v>
      </x:c>
      <x:c r="B292" s="73" t="n">
        <x:v>3</x:v>
      </x:c>
      <x:c r="C292" s="73" t="str">
        <x:f>INDEX(Drivers!$B$8:$B$13,B292)</x:f>
        <x:v>金翼</x:v>
      </x:c>
      <x:c r="D292" s="83" t="n">
        <x:f>G286</x:f>
        <x:v>157.88244994189085</x:v>
      </x:c>
      <x:c r="E292" s="83" t="str">
        <x:f>IF(A292=0,"GRID",IF(D292&gt;=Control!$B$17,"FINISHED",IF(AND(A292&gt;=INDEX(Drivers!$G$8:$G$13,B292),A292&lt;INDEX(Drivers!$G$8:$G$13,B292)+INDEX(Drivers!$J$8:$J$13,B292)),"PIT",IF(MOD(A292+INDEX(Drivers!$F$8:$F$13,B292),Control!$B$11)&lt;Control!$B$13,"BOOST","RACE"))))</x:f>
        <x:v>BOOST</x:v>
      </x:c>
      <x:c r="F292" s="83" t="n">
        <x:f>IF(OR(E292="GRID",E292="FINISHED",E292="PIT"),0,MAX(Control!$B$15,(INDEX(Drivers!$D$8:$D$13,B292)+INDEX(Drivers!$E$8:$E$13,B292)*SIN((A292+INDEX(Drivers!$F$8:$F$13,B292)+Control!$B$16)*Control!$B$14))*INDEX(TrackMap!$M$8:$M$141,MOD(INT(D292)-1,Control!$B$7)+1)*IF(E292="BOOST",Control!$B$12,1)))</x:f>
        <x:v>5.332929628004381</x:v>
      </x:c>
      <x:c r="G292" s="83" t="n">
        <x:f>IF(A292=0,D292,MIN(Control!$B$17,D292+F292))</x:f>
        <x:v>163.21537956989525</x:v>
      </x:c>
      <x:c r="H292" s="73" t="n">
        <x:f>MOD(INT(G292)-1,Control!$B$7)+1</x:f>
        <x:v>29</x:v>
      </x:c>
      <x:c r="I292" s="73" t="n">
        <x:f>MIN(Control!$B$6,MAX(1,INT(MAX(0,G292)/Control!$B$7)+1))</x:f>
        <x:v>2</x:v>
      </x:c>
      <x:c r="J292" s="73" t="n">
        <x:f>INDEX(Drivers!$H$8:$H$13,B292)</x:f>
        <x:v>1</x:v>
      </x:c>
      <x:c r="K292" s="73" t="n">
        <x:f>IF(J292=1,INDEX(TrackMap!$I$8:$I$141,H292),INDEX(TrackMap!$L$8:$L$141,H292))</x:f>
        <x:v>1610</x:v>
      </x:c>
      <x:c r="L292" s="73" t="str">
        <x:f>INDEX(TrackMap!$F$8:$F$141,H292)</x:f>
        <x:v>↑</x:v>
      </x:c>
      <x:c r="M292" s="87" t="n">
        <x:f>MAX(0,G292/Control!$B$17)</x:f>
        <x:v>0.243605044134172</x:v>
      </x:c>
      <x:c r="N292" s="73" t="n">
        <x:f>IF(N286&gt;0,N286,IF(G292&gt;=Control!$B$17,A292,0))</x:f>
        <x:v>0</x:v>
      </x:c>
      <x:c r="O292" s="91" t="n">
        <x:f>IF(N292&gt;0,Control!$B$17+Control!$B$8+1-N292,G292)-B292/100000</x:f>
        <x:v>163.21534956989524</x:v>
      </x:c>
      <x:c r="P292" s="73" t="n">
        <x:f>COUNTIF($O$290:$O$295,"&gt;"&amp;O292)+1</x:f>
        <x:v>2</x:v>
      </x:c>
      <x:c r="Q292" s="83" t="n">
        <x:f>MAX($G$290:$G$295)-G292</x:f>
        <x:v>0.406769541677761</x:v>
      </x:c>
      <x:c r="R292" s="73" t="str">
        <x:f>INDEX(TrackMap!$B$8:$B$141,H292)</x:f>
        <x:v>西侧上坡弯</x:v>
      </x:c>
    </x:row>
    <x:row r="293" ht="20" customHeight="1">
      <x:c r="A293" s="73" t="n">
        <x:v>47</x:v>
      </x:c>
      <x:c r="B293" s="73" t="n">
        <x:v>4</x:v>
      </x:c>
      <x:c r="C293" s="73" t="str">
        <x:f>INDEX(Drivers!$B$8:$B$13,B293)</x:f>
        <x:v>紫影</x:v>
      </x:c>
      <x:c r="D293" s="83" t="n">
        <x:f>G287</x:f>
        <x:v>157.5492811028827</x:v>
      </x:c>
      <x:c r="E293" s="83" t="str">
        <x:f>IF(A293=0,"GRID",IF(D293&gt;=Control!$B$17,"FINISHED",IF(AND(A293&gt;=INDEX(Drivers!$G$8:$G$13,B293),A293&lt;INDEX(Drivers!$G$8:$G$13,B293)+INDEX(Drivers!$J$8:$J$13,B293)),"PIT",IF(MOD(A293+INDEX(Drivers!$F$8:$F$13,B293),Control!$B$11)&lt;Control!$B$13,"BOOST","RACE"))))</x:f>
        <x:v>RACE</x:v>
      </x:c>
      <x:c r="F293" s="83" t="n">
        <x:f>IF(OR(E293="GRID",E293="FINISHED",E293="PIT"),0,MAX(Control!$B$15,(INDEX(Drivers!$D$8:$D$13,B293)+INDEX(Drivers!$E$8:$E$13,B293)*SIN((A293+INDEX(Drivers!$F$8:$F$13,B293)+Control!$B$16)*Control!$B$14))*INDEX(TrackMap!$M$8:$M$141,MOD(INT(D293)-1,Control!$B$7)+1)*IF(E293="BOOST",Control!$B$12,1)))</x:f>
        <x:v>3.089582277623484</x:v>
      </x:c>
      <x:c r="G293" s="83" t="n">
        <x:f>IF(A293=0,D293,MIN(Control!$B$17,D293+F293))</x:f>
        <x:v>160.6388633805062</x:v>
      </x:c>
      <x:c r="H293" s="73" t="n">
        <x:f>MOD(INT(G293)-1,Control!$B$7)+1</x:f>
        <x:v>26</x:v>
      </x:c>
      <x:c r="I293" s="73" t="n">
        <x:f>MIN(Control!$B$6,MAX(1,INT(MAX(0,G293)/Control!$B$7)+1))</x:f>
        <x:v>2</x:v>
      </x:c>
      <x:c r="J293" s="73" t="n">
        <x:f>INDEX(Drivers!$H$8:$H$13,B293)</x:f>
        <x:v>2</x:v>
      </x:c>
      <x:c r="K293" s="73" t="n">
        <x:f>IF(J293=1,INDEX(TrackMap!$I$8:$I$141,H293),INDEX(TrackMap!$L$8:$L$141,H293))</x:f>
        <x:v>1911</x:v>
      </x:c>
      <x:c r="L293" s="73" t="str">
        <x:f>INDEX(TrackMap!$F$8:$F$141,H293)</x:f>
        <x:v>↑</x:v>
      </x:c>
      <x:c r="M293" s="87" t="n">
        <x:f>MAX(0,G293/Control!$B$17)</x:f>
        <x:v>0.23975949758284507</x:v>
      </x:c>
      <x:c r="N293" s="73" t="n">
        <x:f>IF(N287&gt;0,N287,IF(G293&gt;=Control!$B$17,A293,0))</x:f>
        <x:v>0</x:v>
      </x:c>
      <x:c r="O293" s="91" t="n">
        <x:f>IF(N293&gt;0,Control!$B$17+Control!$B$8+1-N293,G293)-B293/100000</x:f>
        <x:v>160.63882338050618</x:v>
      </x:c>
      <x:c r="P293" s="73" t="n">
        <x:f>COUNTIF($O$290:$O$295,"&gt;"&amp;O293)+1</x:f>
        <x:v>3</x:v>
      </x:c>
      <x:c r="Q293" s="83" t="n">
        <x:f>MAX($G$290:$G$295)-G293</x:f>
        <x:v>2.9832857310668146</x:v>
      </x:c>
      <x:c r="R293" s="73" t="str">
        <x:f>INDEX(TrackMap!$B$8:$B$141,H293)</x:f>
        <x:v>西侧上坡弯</x:v>
      </x:c>
    </x:row>
    <x:row r="294" ht="20" customHeight="1">
      <x:c r="A294" s="73" t="n">
        <x:v>47</x:v>
      </x:c>
      <x:c r="B294" s="73" t="n">
        <x:v>5</x:v>
      </x:c>
      <x:c r="C294" s="73" t="str">
        <x:f>INDEX(Drivers!$B$8:$B$13,B294)</x:f>
        <x:v>青锋</x:v>
      </x:c>
      <x:c r="D294" s="83" t="n">
        <x:f>G288</x:f>
        <x:v>151.53372709882788</x:v>
      </x:c>
      <x:c r="E294" s="83" t="str">
        <x:f>IF(A294=0,"GRID",IF(D294&gt;=Control!$B$17,"FINISHED",IF(AND(A294&gt;=INDEX(Drivers!$G$8:$G$13,B294),A294&lt;INDEX(Drivers!$G$8:$G$13,B294)+INDEX(Drivers!$J$8:$J$13,B294)),"PIT",IF(MOD(A294+INDEX(Drivers!$F$8:$F$13,B294),Control!$B$11)&lt;Control!$B$13,"BOOST","RACE"))))</x:f>
        <x:v>RACE</x:v>
      </x:c>
      <x:c r="F294" s="83" t="n">
        <x:f>IF(OR(E294="GRID",E294="FINISHED",E294="PIT"),0,MAX(Control!$B$15,(INDEX(Drivers!$D$8:$D$13,B294)+INDEX(Drivers!$E$8:$E$13,B294)*SIN((A294+INDEX(Drivers!$F$8:$F$13,B294)+Control!$B$16)*Control!$B$14))*INDEX(TrackMap!$M$8:$M$141,MOD(INT(D294)-1,Control!$B$7)+1)*IF(E294="BOOST",Control!$B$12,1)))</x:f>
        <x:v>2.4731552153601015</x:v>
      </x:c>
      <x:c r="G294" s="83" t="n">
        <x:f>IF(A294=0,D294,MIN(Control!$B$17,D294+F294))</x:f>
        <x:v>154.00688231418798</x:v>
      </x:c>
      <x:c r="H294" s="73" t="n">
        <x:f>MOD(INT(G294)-1,Control!$B$7)+1</x:f>
        <x:v>20</x:v>
      </x:c>
      <x:c r="I294" s="73" t="n">
        <x:f>MIN(Control!$B$6,MAX(1,INT(MAX(0,G294)/Control!$B$7)+1))</x:f>
        <x:v>2</x:v>
      </x:c>
      <x:c r="J294" s="73" t="n">
        <x:f>INDEX(Drivers!$H$8:$H$13,B294)</x:f>
        <x:v>1</x:v>
      </x:c>
      <x:c r="K294" s="73" t="n">
        <x:f>IF(J294=1,INDEX(TrackMap!$I$8:$I$141,H294),INDEX(TrackMap!$L$8:$L$141,H294))</x:f>
        <x:v>2204</x:v>
      </x:c>
      <x:c r="L294" s="73" t="str">
        <x:f>INDEX(TrackMap!$F$8:$F$141,H294)</x:f>
        <x:v>↑</x:v>
      </x:c>
      <x:c r="M294" s="87" t="n">
        <x:f>MAX(0,G294/Control!$B$17)</x:f>
        <x:v>0.22986101837938505</x:v>
      </x:c>
      <x:c r="N294" s="73" t="n">
        <x:f>IF(N288&gt;0,N288,IF(G294&gt;=Control!$B$17,A294,0))</x:f>
        <x:v>0</x:v>
      </x:c>
      <x:c r="O294" s="91" t="n">
        <x:f>IF(N294&gt;0,Control!$B$17+Control!$B$8+1-N294,G294)-B294/100000</x:f>
        <x:v>154.006832314188</x:v>
      </x:c>
      <x:c r="P294" s="73" t="n">
        <x:f>COUNTIF($O$290:$O$295,"&gt;"&amp;O294)+1</x:f>
        <x:v>5</x:v>
      </x:c>
      <x:c r="Q294" s="83" t="n">
        <x:f>MAX($G$290:$G$295)-G294</x:f>
        <x:v>9.615266797385033</x:v>
      </x:c>
      <x:c r="R294" s="73" t="str">
        <x:f>INDEX(TrackMap!$B$8:$B$141,H294)</x:f>
        <x:v>西侧回弯</x:v>
      </x:c>
    </x:row>
    <x:row r="295" ht="20" customHeight="1">
      <x:c r="A295" s="73" t="n">
        <x:v>47</x:v>
      </x:c>
      <x:c r="B295" s="73" t="n">
        <x:v>6</x:v>
      </x:c>
      <x:c r="C295" s="73" t="str">
        <x:f>INDEX(Drivers!$B$8:$B$13,B295)</x:f>
        <x:v>玫速</x:v>
      </x:c>
      <x:c r="D295" s="83" t="n">
        <x:f>G289</x:f>
        <x:v>149.58592630995892</x:v>
      </x:c>
      <x:c r="E295" s="83" t="str">
        <x:f>IF(A295=0,"GRID",IF(D295&gt;=Control!$B$17,"FINISHED",IF(AND(A295&gt;=INDEX(Drivers!$G$8:$G$13,B295),A295&lt;INDEX(Drivers!$G$8:$G$13,B295)+INDEX(Drivers!$J$8:$J$13,B295)),"PIT",IF(MOD(A295+INDEX(Drivers!$F$8:$F$13,B295),Control!$B$11)&lt;Control!$B$13,"BOOST","RACE"))))</x:f>
        <x:v>RACE</x:v>
      </x:c>
      <x:c r="F295" s="83" t="n">
        <x:f>IF(OR(E295="GRID",E295="FINISHED",E295="PIT"),0,MAX(Control!$B$15,(INDEX(Drivers!$D$8:$D$13,B295)+INDEX(Drivers!$E$8:$E$13,B295)*SIN((A295+INDEX(Drivers!$F$8:$F$13,B295)+Control!$B$16)*Control!$B$14))*INDEX(TrackMap!$M$8:$M$141,MOD(INT(D295)-1,Control!$B$7)+1)*IF(E295="BOOST",Control!$B$12,1)))</x:f>
        <x:v>3.3374556548544527</x:v>
      </x:c>
      <x:c r="G295" s="83" t="n">
        <x:f>IF(A295=0,D295,MIN(Control!$B$17,D295+F295))</x:f>
        <x:v>152.9233819648134</x:v>
      </x:c>
      <x:c r="H295" s="73" t="n">
        <x:f>MOD(INT(G295)-1,Control!$B$7)+1</x:f>
        <x:v>18</x:v>
      </x:c>
      <x:c r="I295" s="73" t="n">
        <x:f>MIN(Control!$B$6,MAX(1,INT(MAX(0,G295)/Control!$B$7)+1))</x:f>
        <x:v>2</x:v>
      </x:c>
      <x:c r="J295" s="73" t="n">
        <x:f>INDEX(Drivers!$H$8:$H$13,B295)</x:f>
        <x:v>2</x:v>
      </x:c>
      <x:c r="K295" s="73" t="n">
        <x:f>IF(J295=1,INDEX(TrackMap!$I$8:$I$141,H295),INDEX(TrackMap!$L$8:$L$141,H295))</x:f>
        <x:v>2404</x:v>
      </x:c>
      <x:c r="L295" s="73" t="str">
        <x:f>INDEX(TrackMap!$F$8:$F$141,H295)</x:f>
        <x:v>↑</x:v>
      </x:c>
      <x:c r="M295" s="87" t="n">
        <x:f>MAX(0,G295/Control!$B$17)</x:f>
        <x:v>0.22824385367882596</x:v>
      </x:c>
      <x:c r="N295" s="73" t="n">
        <x:f>IF(N289&gt;0,N289,IF(G295&gt;=Control!$B$17,A295,0))</x:f>
        <x:v>0</x:v>
      </x:c>
      <x:c r="O295" s="91" t="n">
        <x:f>IF(N295&gt;0,Control!$B$17+Control!$B$8+1-N295,G295)-B295/100000</x:f>
        <x:v>152.9233219648134</x:v>
      </x:c>
      <x:c r="P295" s="73" t="n">
        <x:f>COUNTIF($O$290:$O$295,"&gt;"&amp;O295)+1</x:f>
        <x:v>6</x:v>
      </x:c>
      <x:c r="Q295" s="83" t="n">
        <x:f>MAX($G$290:$G$295)-G295</x:f>
        <x:v>10.698767146759621</x:v>
      </x:c>
      <x:c r="R295" s="73" t="str">
        <x:f>INDEX(TrackMap!$B$8:$B$141,H295)</x:f>
        <x:v>西侧回弯</x:v>
      </x:c>
    </x:row>
    <x:row r="296" ht="20" customHeight="1">
      <x:c r="A296" s="73" t="n">
        <x:v>48</x:v>
      </x:c>
      <x:c r="B296" s="73" t="n">
        <x:v>1</x:v>
      </x:c>
      <x:c r="C296" s="73" t="str">
        <x:f>INDEX(Drivers!$B$8:$B$13,B296)</x:f>
        <x:v>赤焰</x:v>
      </x:c>
      <x:c r="D296" s="83" t="n">
        <x:f>G290</x:f>
        <x:v>163.622149111573</x:v>
      </x:c>
      <x:c r="E296" s="83" t="str">
        <x:f>IF(A296=0,"GRID",IF(D296&gt;=Control!$B$17,"FINISHED",IF(AND(A296&gt;=INDEX(Drivers!$G$8:$G$13,B296),A296&lt;INDEX(Drivers!$G$8:$G$13,B296)+INDEX(Drivers!$J$8:$J$13,B296)),"PIT",IF(MOD(A296+INDEX(Drivers!$F$8:$F$13,B296),Control!$B$11)&lt;Control!$B$13,"BOOST","RACE"))))</x:f>
        <x:v>RACE</x:v>
      </x:c>
      <x:c r="F296" s="83" t="n">
        <x:f>IF(OR(E296="GRID",E296="FINISHED",E296="PIT"),0,MAX(Control!$B$15,(INDEX(Drivers!$D$8:$D$13,B296)+INDEX(Drivers!$E$8:$E$13,B296)*SIN((A296+INDEX(Drivers!$F$8:$F$13,B296)+Control!$B$16)*Control!$B$14))*INDEX(TrackMap!$M$8:$M$141,MOD(INT(D296)-1,Control!$B$7)+1)*IF(E296="BOOST",Control!$B$12,1)))</x:f>
        <x:v>3.20298922608254</x:v>
      </x:c>
      <x:c r="G296" s="83" t="n">
        <x:f>IF(A296=0,D296,MIN(Control!$B$17,D296+F296))</x:f>
        <x:v>166.82513833765555</x:v>
      </x:c>
      <x:c r="H296" s="73" t="n">
        <x:f>MOD(INT(G296)-1,Control!$B$7)+1</x:f>
        <x:v>32</x:v>
      </x:c>
      <x:c r="I296" s="73" t="n">
        <x:f>MIN(Control!$B$6,MAX(1,INT(MAX(0,G296)/Control!$B$7)+1))</x:f>
        <x:v>2</x:v>
      </x:c>
      <x:c r="J296" s="73" t="n">
        <x:f>INDEX(Drivers!$H$8:$H$13,B296)</x:f>
        <x:v>1</x:v>
      </x:c>
      <x:c r="K296" s="73" t="n">
        <x:f>IF(J296=1,INDEX(TrackMap!$I$8:$I$141,H296),INDEX(TrackMap!$L$8:$L$141,H296))</x:f>
        <x:v>1310</x:v>
      </x:c>
      <x:c r="L296" s="73" t="str">
        <x:f>INDEX(TrackMap!$F$8:$F$141,H296)</x:f>
        <x:v>↑</x:v>
      </x:c>
      <x:c r="M296" s="87" t="n">
        <x:f>MAX(0,G296/Control!$B$17)</x:f>
        <x:v>0.2489927437875456</x:v>
      </x:c>
      <x:c r="N296" s="73" t="n">
        <x:f>IF(N290&gt;0,N290,IF(G296&gt;=Control!$B$17,A296,0))</x:f>
        <x:v>0</x:v>
      </x:c>
      <x:c r="O296" s="91" t="n">
        <x:f>IF(N296&gt;0,Control!$B$17+Control!$B$8+1-N296,G296)-B296/100000</x:f>
        <x:v>166.82512833765554</x:v>
      </x:c>
      <x:c r="P296" s="73" t="n">
        <x:f>COUNTIF($O$296:$O$301,"&gt;"&amp;O296)+1</x:f>
        <x:v>2</x:v>
      </x:c>
      <x:c r="Q296" s="83" t="n">
        <x:f>MAX($G$296:$G$301)-G296</x:f>
        <x:v>1.489003537101894</x:v>
      </x:c>
      <x:c r="R296" s="73" t="str">
        <x:f>INDEX(TrackMap!$B$8:$B$141,H296)</x:f>
        <x:v>西侧上坡弯</x:v>
      </x:c>
    </x:row>
    <x:row r="297" ht="20" customHeight="1">
      <x:c r="A297" s="73" t="n">
        <x:v>48</x:v>
      </x:c>
      <x:c r="B297" s="73" t="n">
        <x:v>2</x:v>
      </x:c>
      <x:c r="C297" s="73" t="str">
        <x:f>INDEX(Drivers!$B$8:$B$13,B297)</x:f>
        <x:v>蓝电</x:v>
      </x:c>
      <x:c r="D297" s="83" t="n">
        <x:f>G291</x:f>
        <x:v>156.10800074073182</x:v>
      </x:c>
      <x:c r="E297" s="83" t="str">
        <x:f>IF(A297=0,"GRID",IF(D297&gt;=Control!$B$17,"FINISHED",IF(AND(A297&gt;=INDEX(Drivers!$G$8:$G$13,B297),A297&lt;INDEX(Drivers!$G$8:$G$13,B297)+INDEX(Drivers!$J$8:$J$13,B297)),"PIT",IF(MOD(A297+INDEX(Drivers!$F$8:$F$13,B297),Control!$B$11)&lt;Control!$B$13,"BOOST","RACE"))))</x:f>
        <x:v>RACE</x:v>
      </x:c>
      <x:c r="F297" s="83" t="n">
        <x:f>IF(OR(E297="GRID",E297="FINISHED",E297="PIT"),0,MAX(Control!$B$15,(INDEX(Drivers!$D$8:$D$13,B297)+INDEX(Drivers!$E$8:$E$13,B297)*SIN((A297+INDEX(Drivers!$F$8:$F$13,B297)+Control!$B$16)*Control!$B$14))*INDEX(TrackMap!$M$8:$M$141,MOD(INT(D297)-1,Control!$B$7)+1)*IF(E297="BOOST",Control!$B$12,1)))</x:f>
        <x:v>3.8121352261081727</x:v>
      </x:c>
      <x:c r="G297" s="83" t="n">
        <x:f>IF(A297=0,D297,MIN(Control!$B$17,D297+F297))</x:f>
        <x:v>159.92013596684</x:v>
      </x:c>
      <x:c r="H297" s="73" t="n">
        <x:f>MOD(INT(G297)-1,Control!$B$7)+1</x:f>
        <x:v>25</x:v>
      </x:c>
      <x:c r="I297" s="73" t="n">
        <x:f>MIN(Control!$B$6,MAX(1,INT(MAX(0,G297)/Control!$B$7)+1))</x:f>
        <x:v>2</x:v>
      </x:c>
      <x:c r="J297" s="73" t="n">
        <x:f>INDEX(Drivers!$H$8:$H$13,B297)</x:f>
        <x:v>2</x:v>
      </x:c>
      <x:c r="K297" s="73" t="n">
        <x:f>IF(J297=1,INDEX(TrackMap!$I$8:$I$141,H297),INDEX(TrackMap!$L$8:$L$141,H297))</x:f>
        <x:v>2010</x:v>
      </x:c>
      <x:c r="L297" s="73" t="str">
        <x:f>INDEX(TrackMap!$F$8:$F$141,H297)</x:f>
        <x:v>↑</x:v>
      </x:c>
      <x:c r="M297" s="87" t="n">
        <x:f>MAX(0,G297/Control!$B$17)</x:f>
        <x:v>0.2386867700997612</x:v>
      </x:c>
      <x:c r="N297" s="73" t="n">
        <x:f>IF(N291&gt;0,N291,IF(G297&gt;=Control!$B$17,A297,0))</x:f>
        <x:v>0</x:v>
      </x:c>
      <x:c r="O297" s="91" t="n">
        <x:f>IF(N297&gt;0,Control!$B$17+Control!$B$8+1-N297,G297)-B297/100000</x:f>
        <x:v>159.92011596684</x:v>
      </x:c>
      <x:c r="P297" s="73" t="n">
        <x:f>COUNTIF($O$296:$O$301,"&gt;"&amp;O297)+1</x:f>
        <x:v>4</x:v>
      </x:c>
      <x:c r="Q297" s="83" t="n">
        <x:f>MAX($G$296:$G$301)-G297</x:f>
        <x:v>8.394005907917432</x:v>
      </x:c>
      <x:c r="R297" s="73" t="str">
        <x:f>INDEX(TrackMap!$B$8:$B$141,H297)</x:f>
        <x:v>西侧上坡弯</x:v>
      </x:c>
    </x:row>
    <x:row r="298" ht="20" customHeight="1">
      <x:c r="A298" s="73" t="n">
        <x:v>48</x:v>
      </x:c>
      <x:c r="B298" s="73" t="n">
        <x:v>3</x:v>
      </x:c>
      <x:c r="C298" s="73" t="str">
        <x:f>INDEX(Drivers!$B$8:$B$13,B298)</x:f>
        <x:v>金翼</x:v>
      </x:c>
      <x:c r="D298" s="83" t="n">
        <x:f>G292</x:f>
        <x:v>163.21537956989525</x:v>
      </x:c>
      <x:c r="E298" s="83" t="str">
        <x:f>IF(A298=0,"GRID",IF(D298&gt;=Control!$B$17,"FINISHED",IF(AND(A298&gt;=INDEX(Drivers!$G$8:$G$13,B298),A298&lt;INDEX(Drivers!$G$8:$G$13,B298)+INDEX(Drivers!$J$8:$J$13,B298)),"PIT",IF(MOD(A298+INDEX(Drivers!$F$8:$F$13,B298),Control!$B$11)&lt;Control!$B$13,"BOOST","RACE"))))</x:f>
        <x:v>BOOST</x:v>
      </x:c>
      <x:c r="F298" s="83" t="n">
        <x:f>IF(OR(E298="GRID",E298="FINISHED",E298="PIT"),0,MAX(Control!$B$15,(INDEX(Drivers!$D$8:$D$13,B298)+INDEX(Drivers!$E$8:$E$13,B298)*SIN((A298+INDEX(Drivers!$F$8:$F$13,B298)+Control!$B$16)*Control!$B$14))*INDEX(TrackMap!$M$8:$M$141,MOD(INT(D298)-1,Control!$B$7)+1)*IF(E298="BOOST",Control!$B$12,1)))</x:f>
        <x:v>5.098762304862205</x:v>
      </x:c>
      <x:c r="G298" s="83" t="n">
        <x:f>IF(A298=0,D298,MIN(Control!$B$17,D298+F298))</x:f>
        <x:v>168.31414187475744</x:v>
      </x:c>
      <x:c r="H298" s="73" t="n">
        <x:f>MOD(INT(G298)-1,Control!$B$7)+1</x:f>
        <x:v>34</x:v>
      </x:c>
      <x:c r="I298" s="73" t="n">
        <x:f>MIN(Control!$B$6,MAX(1,INT(MAX(0,G298)/Control!$B$7)+1))</x:f>
        <x:v>2</x:v>
      </x:c>
      <x:c r="J298" s="73" t="n">
        <x:f>INDEX(Drivers!$H$8:$H$13,B298)</x:f>
        <x:v>1</x:v>
      </x:c>
      <x:c r="K298" s="73" t="n">
        <x:f>IF(J298=1,INDEX(TrackMap!$I$8:$I$141,H298),INDEX(TrackMap!$L$8:$L$141,H298))</x:f>
        <x:v>1110</x:v>
      </x:c>
      <x:c r="L298" s="73" t="str">
        <x:f>INDEX(TrackMap!$F$8:$F$141,H298)</x:f>
        <x:v>↑</x:v>
      </x:c>
      <x:c r="M298" s="87" t="n">
        <x:f>MAX(0,G298/Control!$B$17)</x:f>
        <x:v>0.2512151371265036</x:v>
      </x:c>
      <x:c r="N298" s="73" t="n">
        <x:f>IF(N292&gt;0,N292,IF(G298&gt;=Control!$B$17,A298,0))</x:f>
        <x:v>0</x:v>
      </x:c>
      <x:c r="O298" s="91" t="n">
        <x:f>IF(N298&gt;0,Control!$B$17+Control!$B$8+1-N298,G298)-B298/100000</x:f>
        <x:v>168.31411187475743</x:v>
      </x:c>
      <x:c r="P298" s="73" t="n">
        <x:f>COUNTIF($O$296:$O$301,"&gt;"&amp;O298)+1</x:f>
        <x:v>1</x:v>
      </x:c>
      <x:c r="Q298" s="83" t="n">
        <x:f>MAX($G$296:$G$301)-G298</x:f>
        <x:v>0</x:v>
      </x:c>
      <x:c r="R298" s="73" t="str">
        <x:f>INDEX(TrackMap!$B$8:$B$141,H298)</x:f>
        <x:v>西侧上坡弯</x:v>
      </x:c>
    </x:row>
    <x:row r="299" ht="20" customHeight="1">
      <x:c r="A299" s="73" t="n">
        <x:v>48</x:v>
      </x:c>
      <x:c r="B299" s="73" t="n">
        <x:v>4</x:v>
      </x:c>
      <x:c r="C299" s="73" t="str">
        <x:f>INDEX(Drivers!$B$8:$B$13,B299)</x:f>
        <x:v>紫影</x:v>
      </x:c>
      <x:c r="D299" s="83" t="n">
        <x:f>G293</x:f>
        <x:v>160.6388633805062</x:v>
      </x:c>
      <x:c r="E299" s="83" t="str">
        <x:f>IF(A299=0,"GRID",IF(D299&gt;=Control!$B$17,"FINISHED",IF(AND(A299&gt;=INDEX(Drivers!$G$8:$G$13,B299),A299&lt;INDEX(Drivers!$G$8:$G$13,B299)+INDEX(Drivers!$J$8:$J$13,B299)),"PIT",IF(MOD(A299+INDEX(Drivers!$F$8:$F$13,B299),Control!$B$11)&lt;Control!$B$13,"BOOST","RACE"))))</x:f>
        <x:v>RACE</x:v>
      </x:c>
      <x:c r="F299" s="83" t="n">
        <x:f>IF(OR(E299="GRID",E299="FINISHED",E299="PIT"),0,MAX(Control!$B$15,(INDEX(Drivers!$D$8:$D$13,B299)+INDEX(Drivers!$E$8:$E$13,B299)*SIN((A299+INDEX(Drivers!$F$8:$F$13,B299)+Control!$B$16)*Control!$B$14))*INDEX(TrackMap!$M$8:$M$141,MOD(INT(D299)-1,Control!$B$7)+1)*IF(E299="BOOST",Control!$B$12,1)))</x:f>
        <x:v>2.5145103806182125</x:v>
      </x:c>
      <x:c r="G299" s="83" t="n">
        <x:f>IF(A299=0,D299,MIN(Control!$B$17,D299+F299))</x:f>
        <x:v>163.1533737611244</x:v>
      </x:c>
      <x:c r="H299" s="73" t="n">
        <x:f>MOD(INT(G299)-1,Control!$B$7)+1</x:f>
        <x:v>29</x:v>
      </x:c>
      <x:c r="I299" s="73" t="n">
        <x:f>MIN(Control!$B$6,MAX(1,INT(MAX(0,G299)/Control!$B$7)+1))</x:f>
        <x:v>2</x:v>
      </x:c>
      <x:c r="J299" s="73" t="n">
        <x:f>INDEX(Drivers!$H$8:$H$13,B299)</x:f>
        <x:v>2</x:v>
      </x:c>
      <x:c r="K299" s="73" t="n">
        <x:f>IF(J299=1,INDEX(TrackMap!$I$8:$I$141,H299),INDEX(TrackMap!$L$8:$L$141,H299))</x:f>
        <x:v>1611</x:v>
      </x:c>
      <x:c r="L299" s="73" t="str">
        <x:f>INDEX(TrackMap!$F$8:$F$141,H299)</x:f>
        <x:v>↑</x:v>
      </x:c>
      <x:c r="M299" s="87" t="n">
        <x:f>MAX(0,G299/Control!$B$17)</x:f>
        <x:v>0.24351249815093196</x:v>
      </x:c>
      <x:c r="N299" s="73" t="n">
        <x:f>IF(N293&gt;0,N293,IF(G299&gt;=Control!$B$17,A299,0))</x:f>
        <x:v>0</x:v>
      </x:c>
      <x:c r="O299" s="91" t="n">
        <x:f>IF(N299&gt;0,Control!$B$17+Control!$B$8+1-N299,G299)-B299/100000</x:f>
        <x:v>163.1533337611244</x:v>
      </x:c>
      <x:c r="P299" s="73" t="n">
        <x:f>COUNTIF($O$296:$O$301,"&gt;"&amp;O299)+1</x:f>
        <x:v>3</x:v>
      </x:c>
      <x:c r="Q299" s="83" t="n">
        <x:f>MAX($G$296:$G$301)-G299</x:f>
        <x:v>5.160768113633026</x:v>
      </x:c>
      <x:c r="R299" s="73" t="str">
        <x:f>INDEX(TrackMap!$B$8:$B$141,H299)</x:f>
        <x:v>西侧上坡弯</x:v>
      </x:c>
    </x:row>
    <x:row r="300" ht="20" customHeight="1">
      <x:c r="A300" s="73" t="n">
        <x:v>48</x:v>
      </x:c>
      <x:c r="B300" s="73" t="n">
        <x:v>5</x:v>
      </x:c>
      <x:c r="C300" s="73" t="str">
        <x:f>INDEX(Drivers!$B$8:$B$13,B300)</x:f>
        <x:v>青锋</x:v>
      </x:c>
      <x:c r="D300" s="83" t="n">
        <x:f>G294</x:f>
        <x:v>154.00688231418798</x:v>
      </x:c>
      <x:c r="E300" s="83" t="str">
        <x:f>IF(A300=0,"GRID",IF(D300&gt;=Control!$B$17,"FINISHED",IF(AND(A300&gt;=INDEX(Drivers!$G$8:$G$13,B300),A300&lt;INDEX(Drivers!$G$8:$G$13,B300)+INDEX(Drivers!$J$8:$J$13,B300)),"PIT",IF(MOD(A300+INDEX(Drivers!$F$8:$F$13,B300),Control!$B$11)&lt;Control!$B$13,"BOOST","RACE"))))</x:f>
        <x:v>RACE</x:v>
      </x:c>
      <x:c r="F300" s="83" t="n">
        <x:f>IF(OR(E300="GRID",E300="FINISHED",E300="PIT"),0,MAX(Control!$B$15,(INDEX(Drivers!$D$8:$D$13,B300)+INDEX(Drivers!$E$8:$E$13,B300)*SIN((A300+INDEX(Drivers!$F$8:$F$13,B300)+Control!$B$16)*Control!$B$14))*INDEX(TrackMap!$M$8:$M$141,MOD(INT(D300)-1,Control!$B$7)+1)*IF(E300="BOOST",Control!$B$12,1)))</x:f>
        <x:v>2.5661740379990268</x:v>
      </x:c>
      <x:c r="G300" s="83" t="n">
        <x:f>IF(A300=0,D300,MIN(Control!$B$17,D300+F300))</x:f>
        <x:v>156.573056352187</x:v>
      </x:c>
      <x:c r="H300" s="73" t="n">
        <x:f>MOD(INT(G300)-1,Control!$B$7)+1</x:f>
        <x:v>22</x:v>
      </x:c>
      <x:c r="I300" s="73" t="n">
        <x:f>MIN(Control!$B$6,MAX(1,INT(MAX(0,G300)/Control!$B$7)+1))</x:f>
        <x:v>2</x:v>
      </x:c>
      <x:c r="J300" s="73" t="n">
        <x:f>INDEX(Drivers!$H$8:$H$13,B300)</x:f>
        <x:v>1</x:v>
      </x:c>
      <x:c r="K300" s="73" t="n">
        <x:f>IF(J300=1,INDEX(TrackMap!$I$8:$I$141,H300),INDEX(TrackMap!$L$8:$L$141,H300))</x:f>
        <x:v>2207</x:v>
      </x:c>
      <x:c r="L300" s="73" t="str">
        <x:f>INDEX(TrackMap!$F$8:$F$141,H300)</x:f>
        <x:v>→</x:v>
      </x:c>
      <x:c r="M300" s="87" t="n">
        <x:f>MAX(0,G300/Control!$B$17)</x:f>
        <x:v>0.23369112888386118</x:v>
      </x:c>
      <x:c r="N300" s="73" t="n">
        <x:f>IF(N294&gt;0,N294,IF(G300&gt;=Control!$B$17,A300,0))</x:f>
        <x:v>0</x:v>
      </x:c>
      <x:c r="O300" s="91" t="n">
        <x:f>IF(N300&gt;0,Control!$B$17+Control!$B$8+1-N300,G300)-B300/100000</x:f>
        <x:v>156.573006352187</x:v>
      </x:c>
      <x:c r="P300" s="73" t="n">
        <x:f>COUNTIF($O$296:$O$301,"&gt;"&amp;O300)+1</x:f>
        <x:v>6</x:v>
      </x:c>
      <x:c r="Q300" s="83" t="n">
        <x:f>MAX($G$296:$G$301)-G300</x:f>
        <x:v>11.741085522570444</x:v>
      </x:c>
      <x:c r="R300" s="73" t="str">
        <x:f>INDEX(TrackMap!$B$8:$B$141,H300)</x:f>
        <x:v>短直道</x:v>
      </x:c>
    </x:row>
    <x:row r="301" ht="20" customHeight="1">
      <x:c r="A301" s="73" t="n">
        <x:v>48</x:v>
      </x:c>
      <x:c r="B301" s="73" t="n">
        <x:v>6</x:v>
      </x:c>
      <x:c r="C301" s="73" t="str">
        <x:f>INDEX(Drivers!$B$8:$B$13,B301)</x:f>
        <x:v>玫速</x:v>
      </x:c>
      <x:c r="D301" s="83" t="n">
        <x:f>G295</x:f>
        <x:v>152.9233819648134</x:v>
      </x:c>
      <x:c r="E301" s="83" t="str">
        <x:f>IF(A301=0,"GRID",IF(D301&gt;=Control!$B$17,"FINISHED",IF(AND(A301&gt;=INDEX(Drivers!$G$8:$G$13,B301),A301&lt;INDEX(Drivers!$G$8:$G$13,B301)+INDEX(Drivers!$J$8:$J$13,B301)),"PIT",IF(MOD(A301+INDEX(Drivers!$F$8:$F$13,B301),Control!$B$11)&lt;Control!$B$13,"BOOST","RACE"))))</x:f>
        <x:v>BOOST</x:v>
      </x:c>
      <x:c r="F301" s="83" t="n">
        <x:f>IF(OR(E301="GRID",E301="FINISHED",E301="PIT"),0,MAX(Control!$B$15,(INDEX(Drivers!$D$8:$D$13,B301)+INDEX(Drivers!$E$8:$E$13,B301)*SIN((A301+INDEX(Drivers!$F$8:$F$13,B301)+Control!$B$16)*Control!$B$14))*INDEX(TrackMap!$M$8:$M$141,MOD(INT(D301)-1,Control!$B$7)+1)*IF(E301="BOOST",Control!$B$12,1)))</x:f>
        <x:v>4.477402397670636</x:v>
      </x:c>
      <x:c r="G301" s="83" t="n">
        <x:f>IF(A301=0,D301,MIN(Control!$B$17,D301+F301))</x:f>
        <x:v>157.40078436248402</x:v>
      </x:c>
      <x:c r="H301" s="73" t="n">
        <x:f>MOD(INT(G301)-1,Control!$B$7)+1</x:f>
        <x:v>23</x:v>
      </x:c>
      <x:c r="I301" s="73" t="n">
        <x:f>MIN(Control!$B$6,MAX(1,INT(MAX(0,G301)/Control!$B$7)+1))</x:f>
        <x:v>2</x:v>
      </x:c>
      <x:c r="J301" s="73" t="n">
        <x:f>INDEX(Drivers!$H$8:$H$13,B301)</x:f>
        <x:v>2</x:v>
      </x:c>
      <x:c r="K301" s="73" t="n">
        <x:f>IF(J301=1,INDEX(TrackMap!$I$8:$I$141,H301),INDEX(TrackMap!$L$8:$L$141,H301))</x:f>
        <x:v>2108</x:v>
      </x:c>
      <x:c r="L301" s="73" t="str">
        <x:f>INDEX(TrackMap!$F$8:$F$141,H301)</x:f>
        <x:v>→</x:v>
      </x:c>
      <x:c r="M301" s="87" t="n">
        <x:f>MAX(0,G301/Control!$B$17)</x:f>
        <x:v>0.234926543824603</x:v>
      </x:c>
      <x:c r="N301" s="73" t="n">
        <x:f>IF(N295&gt;0,N295,IF(G301&gt;=Control!$B$17,A301,0))</x:f>
        <x:v>0</x:v>
      </x:c>
      <x:c r="O301" s="91" t="n">
        <x:f>IF(N301&gt;0,Control!$B$17+Control!$B$8+1-N301,G301)-B301/100000</x:f>
        <x:v>157.40072436248403</x:v>
      </x:c>
      <x:c r="P301" s="73" t="n">
        <x:f>COUNTIF($O$296:$O$301,"&gt;"&amp;O301)+1</x:f>
        <x:v>5</x:v>
      </x:c>
      <x:c r="Q301" s="83" t="n">
        <x:f>MAX($G$296:$G$301)-G301</x:f>
        <x:v>10.913357512273421</x:v>
      </x:c>
      <x:c r="R301" s="73" t="str">
        <x:f>INDEX(TrackMap!$B$8:$B$141,H301)</x:f>
        <x:v>短直道</x:v>
      </x:c>
    </x:row>
    <x:row r="302" ht="20" customHeight="1">
      <x:c r="A302" s="73" t="n">
        <x:v>49</x:v>
      </x:c>
      <x:c r="B302" s="73" t="n">
        <x:v>1</x:v>
      </x:c>
      <x:c r="C302" s="73" t="str">
        <x:f>INDEX(Drivers!$B$8:$B$13,B302)</x:f>
        <x:v>赤焰</x:v>
      </x:c>
      <x:c r="D302" s="83" t="n">
        <x:f>G296</x:f>
        <x:v>166.82513833765555</x:v>
      </x:c>
      <x:c r="E302" s="83" t="str">
        <x:f>IF(A302=0,"GRID",IF(D302&gt;=Control!$B$17,"FINISHED",IF(AND(A302&gt;=INDEX(Drivers!$G$8:$G$13,B302),A302&lt;INDEX(Drivers!$G$8:$G$13,B302)+INDEX(Drivers!$J$8:$J$13,B302)),"PIT",IF(MOD(A302+INDEX(Drivers!$F$8:$F$13,B302),Control!$B$11)&lt;Control!$B$13,"BOOST","RACE"))))</x:f>
        <x:v>RACE</x:v>
      </x:c>
      <x:c r="F302" s="83" t="n">
        <x:f>IF(OR(E302="GRID",E302="FINISHED",E302="PIT"),0,MAX(Control!$B$15,(INDEX(Drivers!$D$8:$D$13,B302)+INDEX(Drivers!$E$8:$E$13,B302)*SIN((A302+INDEX(Drivers!$F$8:$F$13,B302)+Control!$B$16)*Control!$B$14))*INDEX(TrackMap!$M$8:$M$141,MOD(INT(D302)-1,Control!$B$7)+1)*IF(E302="BOOST",Control!$B$12,1)))</x:f>
        <x:v>3.1173638228207294</x:v>
      </x:c>
      <x:c r="G302" s="83" t="n">
        <x:f>IF(A302=0,D302,MIN(Control!$B$17,D302+F302))</x:f>
        <x:v>169.94250216047627</x:v>
      </x:c>
      <x:c r="H302" s="73" t="n">
        <x:f>MOD(INT(G302)-1,Control!$B$7)+1</x:f>
        <x:v>35</x:v>
      </x:c>
      <x:c r="I302" s="73" t="n">
        <x:f>MIN(Control!$B$6,MAX(1,INT(MAX(0,G302)/Control!$B$7)+1))</x:f>
        <x:v>2</x:v>
      </x:c>
      <x:c r="J302" s="73" t="n">
        <x:f>INDEX(Drivers!$H$8:$H$13,B302)</x:f>
        <x:v>1</x:v>
      </x:c>
      <x:c r="K302" s="73" t="n">
        <x:f>IF(J302=1,INDEX(TrackMap!$I$8:$I$141,H302),INDEX(TrackMap!$L$8:$L$141,H302))</x:f>
        <x:v>1010</x:v>
      </x:c>
      <x:c r="L302" s="73" t="str">
        <x:f>INDEX(TrackMap!$F$8:$F$141,H302)</x:f>
        <x:v>↑</x:v>
      </x:c>
      <x:c r="M302" s="87" t="n">
        <x:f>MAX(0,G302/Control!$B$17)</x:f>
        <x:v>0.25364552561265113</x:v>
      </x:c>
      <x:c r="N302" s="73" t="n">
        <x:f>IF(N296&gt;0,N296,IF(G302&gt;=Control!$B$17,A302,0))</x:f>
        <x:v>0</x:v>
      </x:c>
      <x:c r="O302" s="91" t="n">
        <x:f>IF(N302&gt;0,Control!$B$17+Control!$B$8+1-N302,G302)-B302/100000</x:f>
        <x:v>169.94249216047626</x:v>
      </x:c>
      <x:c r="P302" s="73" t="n">
        <x:f>COUNTIF($O$302:$O$307,"&gt;"&amp;O302)+1</x:f>
        <x:v>2</x:v>
      </x:c>
      <x:c r="Q302" s="83" t="n">
        <x:f>MAX($G$302:$G$307)-G302</x:f>
        <x:v>2.1550696818929396</x:v>
      </x:c>
      <x:c r="R302" s="73" t="str">
        <x:f>INDEX(TrackMap!$B$8:$B$141,H302)</x:f>
        <x:v>西侧上坡弯</x:v>
      </x:c>
    </x:row>
    <x:row r="303" ht="20" customHeight="1">
      <x:c r="A303" s="73" t="n">
        <x:v>49</x:v>
      </x:c>
      <x:c r="B303" s="73" t="n">
        <x:v>2</x:v>
      </x:c>
      <x:c r="C303" s="73" t="str">
        <x:f>INDEX(Drivers!$B$8:$B$13,B303)</x:f>
        <x:v>蓝电</x:v>
      </x:c>
      <x:c r="D303" s="83" t="n">
        <x:f>G297</x:f>
        <x:v>159.92013596684</x:v>
      </x:c>
      <x:c r="E303" s="83" t="str">
        <x:f>IF(A303=0,"GRID",IF(D303&gt;=Control!$B$17,"FINISHED",IF(AND(A303&gt;=INDEX(Drivers!$G$8:$G$13,B303),A303&lt;INDEX(Drivers!$G$8:$G$13,B303)+INDEX(Drivers!$J$8:$J$13,B303)),"PIT",IF(MOD(A303+INDEX(Drivers!$F$8:$F$13,B303),Control!$B$11)&lt;Control!$B$13,"BOOST","RACE"))))</x:f>
        <x:v>RACE</x:v>
      </x:c>
      <x:c r="F303" s="83" t="n">
        <x:f>IF(OR(E303="GRID",E303="FINISHED",E303="PIT"),0,MAX(Control!$B$15,(INDEX(Drivers!$D$8:$D$13,B303)+INDEX(Drivers!$E$8:$E$13,B303)*SIN((A303+INDEX(Drivers!$F$8:$F$13,B303)+Control!$B$16)*Control!$B$14))*INDEX(TrackMap!$M$8:$M$141,MOD(INT(D303)-1,Control!$B$7)+1)*IF(E303="BOOST",Control!$B$12,1)))</x:f>
        <x:v>3.1172690647420493</x:v>
      </x:c>
      <x:c r="G303" s="83" t="n">
        <x:f>IF(A303=0,D303,MIN(Control!$B$17,D303+F303))</x:f>
        <x:v>163.03740503158207</x:v>
      </x:c>
      <x:c r="H303" s="73" t="n">
        <x:f>MOD(INT(G303)-1,Control!$B$7)+1</x:f>
        <x:v>29</x:v>
      </x:c>
      <x:c r="I303" s="73" t="n">
        <x:f>MIN(Control!$B$6,MAX(1,INT(MAX(0,G303)/Control!$B$7)+1))</x:f>
        <x:v>2</x:v>
      </x:c>
      <x:c r="J303" s="73" t="n">
        <x:f>INDEX(Drivers!$H$8:$H$13,B303)</x:f>
        <x:v>2</x:v>
      </x:c>
      <x:c r="K303" s="73" t="n">
        <x:f>IF(J303=1,INDEX(TrackMap!$I$8:$I$141,H303),INDEX(TrackMap!$L$8:$L$141,H303))</x:f>
        <x:v>1611</x:v>
      </x:c>
      <x:c r="L303" s="73" t="str">
        <x:f>INDEX(TrackMap!$F$8:$F$141,H303)</x:f>
        <x:v>↑</x:v>
      </x:c>
      <x:c r="M303" s="87" t="n">
        <x:f>MAX(0,G303/Control!$B$17)</x:f>
        <x:v>0.2433394104948986</x:v>
      </x:c>
      <x:c r="N303" s="73" t="n">
        <x:f>IF(N297&gt;0,N297,IF(G303&gt;=Control!$B$17,A303,0))</x:f>
        <x:v>0</x:v>
      </x:c>
      <x:c r="O303" s="91" t="n">
        <x:f>IF(N303&gt;0,Control!$B$17+Control!$B$8+1-N303,G303)-B303/100000</x:f>
        <x:v>163.03738503158206</x:v>
      </x:c>
      <x:c r="P303" s="73" t="n">
        <x:f>COUNTIF($O$302:$O$307,"&gt;"&amp;O303)+1</x:f>
        <x:v>4</x:v>
      </x:c>
      <x:c r="Q303" s="83" t="n">
        <x:f>MAX($G$302:$G$307)-G303</x:f>
        <x:v>9.060166810787138</x:v>
      </x:c>
      <x:c r="R303" s="73" t="str">
        <x:f>INDEX(TrackMap!$B$8:$B$141,H303)</x:f>
        <x:v>西侧上坡弯</x:v>
      </x:c>
    </x:row>
    <x:row r="304" ht="20" customHeight="1">
      <x:c r="A304" s="73" t="n">
        <x:v>49</x:v>
      </x:c>
      <x:c r="B304" s="73" t="n">
        <x:v>3</x:v>
      </x:c>
      <x:c r="C304" s="73" t="str">
        <x:f>INDEX(Drivers!$B$8:$B$13,B304)</x:f>
        <x:v>金翼</x:v>
      </x:c>
      <x:c r="D304" s="83" t="n">
        <x:f>G298</x:f>
        <x:v>168.31414187475744</x:v>
      </x:c>
      <x:c r="E304" s="83" t="str">
        <x:f>IF(A304=0,"GRID",IF(D304&gt;=Control!$B$17,"FINISHED",IF(AND(A304&gt;=INDEX(Drivers!$G$8:$G$13,B304),A304&lt;INDEX(Drivers!$G$8:$G$13,B304)+INDEX(Drivers!$J$8:$J$13,B304)),"PIT",IF(MOD(A304+INDEX(Drivers!$F$8:$F$13,B304),Control!$B$11)&lt;Control!$B$13,"BOOST","RACE"))))</x:f>
        <x:v>BOOST</x:v>
      </x:c>
      <x:c r="F304" s="83" t="n">
        <x:f>IF(OR(E304="GRID",E304="FINISHED",E304="PIT"),0,MAX(Control!$B$15,(INDEX(Drivers!$D$8:$D$13,B304)+INDEX(Drivers!$E$8:$E$13,B304)*SIN((A304+INDEX(Drivers!$F$8:$F$13,B304)+Control!$B$16)*Control!$B$14))*INDEX(TrackMap!$M$8:$M$141,MOD(INT(D304)-1,Control!$B$7)+1)*IF(E304="BOOST",Control!$B$12,1)))</x:f>
        <x:v>3.7834299676117684</x:v>
      </x:c>
      <x:c r="G304" s="83" t="n">
        <x:f>IF(A304=0,D304,MIN(Control!$B$17,D304+F304))</x:f>
        <x:v>172.0975718423692</x:v>
      </x:c>
      <x:c r="H304" s="73" t="n">
        <x:f>MOD(INT(G304)-1,Control!$B$7)+1</x:f>
        <x:v>38</x:v>
      </x:c>
      <x:c r="I304" s="73" t="n">
        <x:f>MIN(Control!$B$6,MAX(1,INT(MAX(0,G304)/Control!$B$7)+1))</x:f>
        <x:v>2</x:v>
      </x:c>
      <x:c r="J304" s="73" t="n">
        <x:f>INDEX(Drivers!$H$8:$H$13,B304)</x:f>
        <x:v>1</x:v>
      </x:c>
      <x:c r="K304" s="73" t="n">
        <x:f>IF(J304=1,INDEX(TrackMap!$I$8:$I$141,H304),INDEX(TrackMap!$L$8:$L$141,H304))</x:f>
        <x:v>814</x:v>
      </x:c>
      <x:c r="L304" s="73" t="str">
        <x:f>INDEX(TrackMap!$F$8:$F$141,H304)</x:f>
        <x:v>→</x:v>
      </x:c>
      <x:c r="M304" s="87" t="n">
        <x:f>MAX(0,G304/Control!$B$17)</x:f>
        <x:v>0.2568620475259242</x:v>
      </x:c>
      <x:c r="N304" s="73" t="n">
        <x:f>IF(N298&gt;0,N298,IF(G304&gt;=Control!$B$17,A304,0))</x:f>
        <x:v>0</x:v>
      </x:c>
      <x:c r="O304" s="91" t="n">
        <x:f>IF(N304&gt;0,Control!$B$17+Control!$B$8+1-N304,G304)-B304/100000</x:f>
        <x:v>172.0975418423692</x:v>
      </x:c>
      <x:c r="P304" s="73" t="n">
        <x:f>COUNTIF($O$302:$O$307,"&gt;"&amp;O304)+1</x:f>
        <x:v>1</x:v>
      </x:c>
      <x:c r="Q304" s="83" t="n">
        <x:f>MAX($G$302:$G$307)-G304</x:f>
        <x:v>0</x:v>
      </x:c>
      <x:c r="R304" s="73" t="str">
        <x:f>INDEX(TrackMap!$B$8:$B$141,H304)</x:f>
        <x:v>西侧发卡弯</x:v>
      </x:c>
    </x:row>
    <x:row r="305" ht="20" customHeight="1">
      <x:c r="A305" s="73" t="n">
        <x:v>49</x:v>
      </x:c>
      <x:c r="B305" s="73" t="n">
        <x:v>4</x:v>
      </x:c>
      <x:c r="C305" s="73" t="str">
        <x:f>INDEX(Drivers!$B$8:$B$13,B305)</x:f>
        <x:v>紫影</x:v>
      </x:c>
      <x:c r="D305" s="83" t="n">
        <x:f>G299</x:f>
        <x:v>163.1533737611244</x:v>
      </x:c>
      <x:c r="E305" s="83" t="str">
        <x:f>IF(A305=0,"GRID",IF(D305&gt;=Control!$B$17,"FINISHED",IF(AND(A305&gt;=INDEX(Drivers!$G$8:$G$13,B305),A305&lt;INDEX(Drivers!$G$8:$G$13,B305)+INDEX(Drivers!$J$8:$J$13,B305)),"PIT",IF(MOD(A305+INDEX(Drivers!$F$8:$F$13,B305),Control!$B$11)&lt;Control!$B$13,"BOOST","RACE"))))</x:f>
        <x:v>RACE</x:v>
      </x:c>
      <x:c r="F305" s="83" t="n">
        <x:f>IF(OR(E305="GRID",E305="FINISHED",E305="PIT"),0,MAX(Control!$B$15,(INDEX(Drivers!$D$8:$D$13,B305)+INDEX(Drivers!$E$8:$E$13,B305)*SIN((A305+INDEX(Drivers!$F$8:$F$13,B305)+Control!$B$16)*Control!$B$14))*INDEX(TrackMap!$M$8:$M$141,MOD(INT(D305)-1,Control!$B$7)+1)*IF(E305="BOOST",Control!$B$12,1)))</x:f>
        <x:v>3.4088064459633167</x:v>
      </x:c>
      <x:c r="G305" s="83" t="n">
        <x:f>IF(A305=0,D305,MIN(Control!$B$17,D305+F305))</x:f>
        <x:v>166.56218020708772</x:v>
      </x:c>
      <x:c r="H305" s="73" t="n">
        <x:f>MOD(INT(G305)-1,Control!$B$7)+1</x:f>
        <x:v>32</x:v>
      </x:c>
      <x:c r="I305" s="73" t="n">
        <x:f>MIN(Control!$B$6,MAX(1,INT(MAX(0,G305)/Control!$B$7)+1))</x:f>
        <x:v>2</x:v>
      </x:c>
      <x:c r="J305" s="73" t="n">
        <x:f>INDEX(Drivers!$H$8:$H$13,B305)</x:f>
        <x:v>2</x:v>
      </x:c>
      <x:c r="K305" s="73" t="n">
        <x:f>IF(J305=1,INDEX(TrackMap!$I$8:$I$141,H305),INDEX(TrackMap!$L$8:$L$141,H305))</x:f>
        <x:v>1311</x:v>
      </x:c>
      <x:c r="L305" s="73" t="str">
        <x:f>INDEX(TrackMap!$F$8:$F$141,H305)</x:f>
        <x:v>↑</x:v>
      </x:c>
      <x:c r="M305" s="87" t="n">
        <x:f>MAX(0,G305/Control!$B$17)</x:f>
        <x:v>0.24860026896580256</x:v>
      </x:c>
      <x:c r="N305" s="73" t="n">
        <x:f>IF(N299&gt;0,N299,IF(G305&gt;=Control!$B$17,A305,0))</x:f>
        <x:v>0</x:v>
      </x:c>
      <x:c r="O305" s="91" t="n">
        <x:f>IF(N305&gt;0,Control!$B$17+Control!$B$8+1-N305,G305)-B305/100000</x:f>
        <x:v>166.5621402070877</x:v>
      </x:c>
      <x:c r="P305" s="73" t="n">
        <x:f>COUNTIF($O$302:$O$307,"&gt;"&amp;O305)+1</x:f>
        <x:v>3</x:v>
      </x:c>
      <x:c r="Q305" s="83" t="n">
        <x:f>MAX($G$302:$G$307)-G305</x:f>
        <x:v>5.535391635281485</x:v>
      </x:c>
      <x:c r="R305" s="73" t="str">
        <x:f>INDEX(TrackMap!$B$8:$B$141,H305)</x:f>
        <x:v>西侧上坡弯</x:v>
      </x:c>
    </x:row>
    <x:row r="306" ht="20" customHeight="1">
      <x:c r="A306" s="73" t="n">
        <x:v>49</x:v>
      </x:c>
      <x:c r="B306" s="73" t="n">
        <x:v>5</x:v>
      </x:c>
      <x:c r="C306" s="73" t="str">
        <x:f>INDEX(Drivers!$B$8:$B$13,B306)</x:f>
        <x:v>青锋</x:v>
      </x:c>
      <x:c r="D306" s="83" t="n">
        <x:f>G300</x:f>
        <x:v>156.573056352187</x:v>
      </x:c>
      <x:c r="E306" s="83" t="str">
        <x:f>IF(A306=0,"GRID",IF(D306&gt;=Control!$B$17,"FINISHED",IF(AND(A306&gt;=INDEX(Drivers!$G$8:$G$13,B306),A306&lt;INDEX(Drivers!$G$8:$G$13,B306)+INDEX(Drivers!$J$8:$J$13,B306)),"PIT",IF(MOD(A306+INDEX(Drivers!$F$8:$F$13,B306),Control!$B$11)&lt;Control!$B$13,"BOOST","RACE"))))</x:f>
        <x:v>RACE</x:v>
      </x:c>
      <x:c r="F306" s="83" t="n">
        <x:f>IF(OR(E306="GRID",E306="FINISHED",E306="PIT"),0,MAX(Control!$B$15,(INDEX(Drivers!$D$8:$D$13,B306)+INDEX(Drivers!$E$8:$E$13,B306)*SIN((A306+INDEX(Drivers!$F$8:$F$13,B306)+Control!$B$16)*Control!$B$14))*INDEX(TrackMap!$M$8:$M$141,MOD(INT(D306)-1,Control!$B$7)+1)*IF(E306="BOOST",Control!$B$12,1)))</x:f>
        <x:v>3.455243526107116</x:v>
      </x:c>
      <x:c r="G306" s="83" t="n">
        <x:f>IF(A306=0,D306,MIN(Control!$B$17,D306+F306))</x:f>
        <x:v>160.02829987829412</x:v>
      </x:c>
      <x:c r="H306" s="73" t="n">
        <x:f>MOD(INT(G306)-1,Control!$B$7)+1</x:f>
        <x:v>26</x:v>
      </x:c>
      <x:c r="I306" s="73" t="n">
        <x:f>MIN(Control!$B$6,MAX(1,INT(MAX(0,G306)/Control!$B$7)+1))</x:f>
        <x:v>2</x:v>
      </x:c>
      <x:c r="J306" s="73" t="n">
        <x:f>INDEX(Drivers!$H$8:$H$13,B306)</x:f>
        <x:v>1</x:v>
      </x:c>
      <x:c r="K306" s="73" t="n">
        <x:f>IF(J306=1,INDEX(TrackMap!$I$8:$I$141,H306),INDEX(TrackMap!$L$8:$L$141,H306))</x:f>
        <x:v>1910</x:v>
      </x:c>
      <x:c r="L306" s="73" t="str">
        <x:f>INDEX(TrackMap!$F$8:$F$141,H306)</x:f>
        <x:v>↑</x:v>
      </x:c>
      <x:c r="M306" s="87" t="n">
        <x:f>MAX(0,G306/Control!$B$17)</x:f>
        <x:v>0.23884820877357332</x:v>
      </x:c>
      <x:c r="N306" s="73" t="n">
        <x:f>IF(N300&gt;0,N300,IF(G306&gt;=Control!$B$17,A306,0))</x:f>
        <x:v>0</x:v>
      </x:c>
      <x:c r="O306" s="91" t="n">
        <x:f>IF(N306&gt;0,Control!$B$17+Control!$B$8+1-N306,G306)-B306/100000</x:f>
        <x:v>160.02824987829413</x:v>
      </x:c>
      <x:c r="P306" s="73" t="n">
        <x:f>COUNTIF($O$302:$O$307,"&gt;"&amp;O306)+1</x:f>
        <x:v>6</x:v>
      </x:c>
      <x:c r="Q306" s="83" t="n">
        <x:f>MAX($G$302:$G$307)-G306</x:f>
        <x:v>12.069271964075085</x:v>
      </x:c>
      <x:c r="R306" s="73" t="str">
        <x:f>INDEX(TrackMap!$B$8:$B$141,H306)</x:f>
        <x:v>西侧上坡弯</x:v>
      </x:c>
    </x:row>
    <x:row r="307" ht="20" customHeight="1">
      <x:c r="A307" s="73" t="n">
        <x:v>49</x:v>
      </x:c>
      <x:c r="B307" s="73" t="n">
        <x:v>6</x:v>
      </x:c>
      <x:c r="C307" s="73" t="str">
        <x:f>INDEX(Drivers!$B$8:$B$13,B307)</x:f>
        <x:v>玫速</x:v>
      </x:c>
      <x:c r="D307" s="83" t="n">
        <x:f>G301</x:f>
        <x:v>157.40078436248402</x:v>
      </x:c>
      <x:c r="E307" s="83" t="str">
        <x:f>IF(A307=0,"GRID",IF(D307&gt;=Control!$B$17,"FINISHED",IF(AND(A307&gt;=INDEX(Drivers!$G$8:$G$13,B307),A307&lt;INDEX(Drivers!$G$8:$G$13,B307)+INDEX(Drivers!$J$8:$J$13,B307)),"PIT",IF(MOD(A307+INDEX(Drivers!$F$8:$F$13,B307),Control!$B$11)&lt;Control!$B$13,"BOOST","RACE"))))</x:f>
        <x:v>BOOST</x:v>
      </x:c>
      <x:c r="F307" s="83" t="n">
        <x:f>IF(OR(E307="GRID",E307="FINISHED",E307="PIT"),0,MAX(Control!$B$15,(INDEX(Drivers!$D$8:$D$13,B307)+INDEX(Drivers!$E$8:$E$13,B307)*SIN((A307+INDEX(Drivers!$F$8:$F$13,B307)+Control!$B$16)*Control!$B$14))*INDEX(TrackMap!$M$8:$M$141,MOD(INT(D307)-1,Control!$B$7)+1)*IF(E307="BOOST",Control!$B$12,1)))</x:f>
        <x:v>5.599631713554856</x:v>
      </x:c>
      <x:c r="G307" s="83" t="n">
        <x:f>IF(A307=0,D307,MIN(Control!$B$17,D307+F307))</x:f>
        <x:v>163.00041607603887</x:v>
      </x:c>
      <x:c r="H307" s="73" t="n">
        <x:f>MOD(INT(G307)-1,Control!$B$7)+1</x:f>
        <x:v>29</x:v>
      </x:c>
      <x:c r="I307" s="73" t="n">
        <x:f>MIN(Control!$B$6,MAX(1,INT(MAX(0,G307)/Control!$B$7)+1))</x:f>
        <x:v>2</x:v>
      </x:c>
      <x:c r="J307" s="73" t="n">
        <x:f>INDEX(Drivers!$H$8:$H$13,B307)</x:f>
        <x:v>2</x:v>
      </x:c>
      <x:c r="K307" s="73" t="n">
        <x:f>IF(J307=1,INDEX(TrackMap!$I$8:$I$141,H307),INDEX(TrackMap!$L$8:$L$141,H307))</x:f>
        <x:v>1611</x:v>
      </x:c>
      <x:c r="L307" s="73" t="str">
        <x:f>INDEX(TrackMap!$F$8:$F$141,H307)</x:f>
        <x:v>↑</x:v>
      </x:c>
      <x:c r="M307" s="87" t="n">
        <x:f>MAX(0,G307/Control!$B$17)</x:f>
        <x:v>0.2432842030985655</x:v>
      </x:c>
      <x:c r="N307" s="73" t="n">
        <x:f>IF(N301&gt;0,N301,IF(G307&gt;=Control!$B$17,A307,0))</x:f>
        <x:v>0</x:v>
      </x:c>
      <x:c r="O307" s="91" t="n">
        <x:f>IF(N307&gt;0,Control!$B$17+Control!$B$8+1-N307,G307)-B307/100000</x:f>
        <x:v>163.00035607603888</x:v>
      </x:c>
      <x:c r="P307" s="73" t="n">
        <x:f>COUNTIF($O$302:$O$307,"&gt;"&amp;O307)+1</x:f>
        <x:v>5</x:v>
      </x:c>
      <x:c r="Q307" s="83" t="n">
        <x:f>MAX($G$302:$G$307)-G307</x:f>
        <x:v>9.097155766330332</x:v>
      </x:c>
      <x:c r="R307" s="73" t="str">
        <x:f>INDEX(TrackMap!$B$8:$B$141,H307)</x:f>
        <x:v>西侧上坡弯</x:v>
      </x:c>
    </x:row>
    <x:row r="308" ht="20" customHeight="1">
      <x:c r="A308" s="73" t="n">
        <x:v>50</x:v>
      </x:c>
      <x:c r="B308" s="73" t="n">
        <x:v>1</x:v>
      </x:c>
      <x:c r="C308" s="73" t="str">
        <x:f>INDEX(Drivers!$B$8:$B$13,B308)</x:f>
        <x:v>赤焰</x:v>
      </x:c>
      <x:c r="D308" s="83" t="n">
        <x:f>G302</x:f>
        <x:v>169.94250216047627</x:v>
      </x:c>
      <x:c r="E308" s="83" t="str">
        <x:f>IF(A308=0,"GRID",IF(D308&gt;=Control!$B$17,"FINISHED",IF(AND(A308&gt;=INDEX(Drivers!$G$8:$G$13,B308),A308&lt;INDEX(Drivers!$G$8:$G$13,B308)+INDEX(Drivers!$J$8:$J$13,B308)),"PIT",IF(MOD(A308+INDEX(Drivers!$F$8:$F$13,B308),Control!$B$11)&lt;Control!$B$13,"BOOST","RACE"))))</x:f>
        <x:v>RACE</x:v>
      </x:c>
      <x:c r="F308" s="83" t="n">
        <x:f>IF(OR(E308="GRID",E308="FINISHED",E308="PIT"),0,MAX(Control!$B$15,(INDEX(Drivers!$D$8:$D$13,B308)+INDEX(Drivers!$E$8:$E$13,B308)*SIN((A308+INDEX(Drivers!$F$8:$F$13,B308)+Control!$B$16)*Control!$B$14))*INDEX(TrackMap!$M$8:$M$141,MOD(INT(D308)-1,Control!$B$7)+1)*IF(E308="BOOST",Control!$B$12,1)))</x:f>
        <x:v>2.4209860173960784</x:v>
      </x:c>
      <x:c r="G308" s="83" t="n">
        <x:f>IF(A308=0,D308,MIN(Control!$B$17,D308+F308))</x:f>
        <x:v>172.36348817787234</x:v>
      </x:c>
      <x:c r="H308" s="73" t="n">
        <x:f>MOD(INT(G308)-1,Control!$B$7)+1</x:f>
        <x:v>38</x:v>
      </x:c>
      <x:c r="I308" s="73" t="n">
        <x:f>MIN(Control!$B$6,MAX(1,INT(MAX(0,G308)/Control!$B$7)+1))</x:f>
        <x:v>2</x:v>
      </x:c>
      <x:c r="J308" s="73" t="n">
        <x:f>INDEX(Drivers!$H$8:$H$13,B308)</x:f>
        <x:v>1</x:v>
      </x:c>
      <x:c r="K308" s="73" t="n">
        <x:f>IF(J308=1,INDEX(TrackMap!$I$8:$I$141,H308),INDEX(TrackMap!$L$8:$L$141,H308))</x:f>
        <x:v>814</x:v>
      </x:c>
      <x:c r="L308" s="73" t="str">
        <x:f>INDEX(TrackMap!$F$8:$F$141,H308)</x:f>
        <x:v>→</x:v>
      </x:c>
      <x:c r="M308" s="87" t="n">
        <x:f>MAX(0,G308/Control!$B$17)</x:f>
        <x:v>0.25725893757891394</x:v>
      </x:c>
      <x:c r="N308" s="73" t="n">
        <x:f>IF(N302&gt;0,N302,IF(G308&gt;=Control!$B$17,A308,0))</x:f>
        <x:v>0</x:v>
      </x:c>
      <x:c r="O308" s="91" t="n">
        <x:f>IF(N308&gt;0,Control!$B$17+Control!$B$8+1-N308,G308)-B308/100000</x:f>
        <x:v>172.36347817787234</x:v>
      </x:c>
      <x:c r="P308" s="73" t="n">
        <x:f>COUNTIF($O$308:$O$313,"&gt;"&amp;O308)+1</x:f>
        <x:v>2</x:v>
      </x:c>
      <x:c r="Q308" s="83" t="n">
        <x:f>MAX($G$308:$G$313)-G308</x:f>
        <x:v>2.40450936653815</x:v>
      </x:c>
      <x:c r="R308" s="73" t="str">
        <x:f>INDEX(TrackMap!$B$8:$B$141,H308)</x:f>
        <x:v>西侧发卡弯</x:v>
      </x:c>
    </x:row>
    <x:row r="309" ht="20" customHeight="1">
      <x:c r="A309" s="73" t="n">
        <x:v>50</x:v>
      </x:c>
      <x:c r="B309" s="73" t="n">
        <x:v>2</x:v>
      </x:c>
      <x:c r="C309" s="73" t="str">
        <x:f>INDEX(Drivers!$B$8:$B$13,B309)</x:f>
        <x:v>蓝电</x:v>
      </x:c>
      <x:c r="D309" s="83" t="n">
        <x:f>G303</x:f>
        <x:v>163.03740503158207</x:v>
      </x:c>
      <x:c r="E309" s="83" t="str">
        <x:f>IF(A309=0,"GRID",IF(D309&gt;=Control!$B$17,"FINISHED",IF(AND(A309&gt;=INDEX(Drivers!$G$8:$G$13,B309),A309&lt;INDEX(Drivers!$G$8:$G$13,B309)+INDEX(Drivers!$J$8:$J$13,B309)),"PIT",IF(MOD(A309+INDEX(Drivers!$F$8:$F$13,B309),Control!$B$11)&lt;Control!$B$13,"BOOST","RACE"))))</x:f>
        <x:v>RACE</x:v>
      </x:c>
      <x:c r="F309" s="83" t="n">
        <x:f>IF(OR(E309="GRID",E309="FINISHED",E309="PIT"),0,MAX(Control!$B$15,(INDEX(Drivers!$D$8:$D$13,B309)+INDEX(Drivers!$E$8:$E$13,B309)*SIN((A309+INDEX(Drivers!$F$8:$F$13,B309)+Control!$B$16)*Control!$B$14))*INDEX(TrackMap!$M$8:$M$141,MOD(INT(D309)-1,Control!$B$7)+1)*IF(E309="BOOST",Control!$B$12,1)))</x:f>
        <x:v>4.124491216969957</x:v>
      </x:c>
      <x:c r="G309" s="83" t="n">
        <x:f>IF(A309=0,D309,MIN(Control!$B$17,D309+F309))</x:f>
        <x:v>167.161896248552</x:v>
      </x:c>
      <x:c r="H309" s="73" t="n">
        <x:f>MOD(INT(G309)-1,Control!$B$7)+1</x:f>
        <x:v>33</x:v>
      </x:c>
      <x:c r="I309" s="73" t="n">
        <x:f>MIN(Control!$B$6,MAX(1,INT(MAX(0,G309)/Control!$B$7)+1))</x:f>
        <x:v>2</x:v>
      </x:c>
      <x:c r="J309" s="73" t="n">
        <x:f>INDEX(Drivers!$H$8:$H$13,B309)</x:f>
        <x:v>2</x:v>
      </x:c>
      <x:c r="K309" s="73" t="n">
        <x:f>IF(J309=1,INDEX(TrackMap!$I$8:$I$141,H309),INDEX(TrackMap!$L$8:$L$141,H309))</x:f>
        <x:v>1211</x:v>
      </x:c>
      <x:c r="L309" s="73" t="str">
        <x:f>INDEX(TrackMap!$F$8:$F$141,H309)</x:f>
        <x:v>↑</x:v>
      </x:c>
      <x:c r="M309" s="87" t="n">
        <x:f>MAX(0,G309/Control!$B$17)</x:f>
        <x:v>0.24949536753515225</x:v>
      </x:c>
      <x:c r="N309" s="73" t="n">
        <x:f>IF(N303&gt;0,N303,IF(G309&gt;=Control!$B$17,A309,0))</x:f>
        <x:v>0</x:v>
      </x:c>
      <x:c r="O309" s="91" t="n">
        <x:f>IF(N309&gt;0,Control!$B$17+Control!$B$8+1-N309,G309)-B309/100000</x:f>
        <x:v>167.161876248552</x:v>
      </x:c>
      <x:c r="P309" s="73" t="n">
        <x:f>COUNTIF($O$308:$O$313,"&gt;"&amp;O309)+1</x:f>
        <x:v>5</x:v>
      </x:c>
      <x:c r="Q309" s="83" t="n">
        <x:f>MAX($G$308:$G$313)-G309</x:f>
        <x:v>7.60610129585848</x:v>
      </x:c>
      <x:c r="R309" s="73" t="str">
        <x:f>INDEX(TrackMap!$B$8:$B$141,H309)</x:f>
        <x:v>西侧上坡弯</x:v>
      </x:c>
    </x:row>
    <x:row r="310" ht="20" customHeight="1">
      <x:c r="A310" s="73" t="n">
        <x:v>50</x:v>
      </x:c>
      <x:c r="B310" s="73" t="n">
        <x:v>3</x:v>
      </x:c>
      <x:c r="C310" s="73" t="str">
        <x:f>INDEX(Drivers!$B$8:$B$13,B310)</x:f>
        <x:v>金翼</x:v>
      </x:c>
      <x:c r="D310" s="83" t="n">
        <x:f>G304</x:f>
        <x:v>172.0975718423692</x:v>
      </x:c>
      <x:c r="E310" s="83" t="str">
        <x:f>IF(A310=0,"GRID",IF(D310&gt;=Control!$B$17,"FINISHED",IF(AND(A310&gt;=INDEX(Drivers!$G$8:$G$13,B310),A310&lt;INDEX(Drivers!$G$8:$G$13,B310)+INDEX(Drivers!$J$8:$J$13,B310)),"PIT",IF(MOD(A310+INDEX(Drivers!$F$8:$F$13,B310),Control!$B$11)&lt;Control!$B$13,"BOOST","RACE"))))</x:f>
        <x:v>RACE</x:v>
      </x:c>
      <x:c r="F310" s="83" t="n">
        <x:f>IF(OR(E310="GRID",E310="FINISHED",E310="PIT"),0,MAX(Control!$B$15,(INDEX(Drivers!$D$8:$D$13,B310)+INDEX(Drivers!$E$8:$E$13,B310)*SIN((A310+INDEX(Drivers!$F$8:$F$13,B310)+Control!$B$16)*Control!$B$14))*INDEX(TrackMap!$M$8:$M$141,MOD(INT(D310)-1,Control!$B$7)+1)*IF(E310="BOOST",Control!$B$12,1)))</x:f>
        <x:v>2.6704257020412943</x:v>
      </x:c>
      <x:c r="G310" s="83" t="n">
        <x:f>IF(A310=0,D310,MIN(Control!$B$17,D310+F310))</x:f>
        <x:v>174.7679975444105</x:v>
      </x:c>
      <x:c r="H310" s="73" t="n">
        <x:f>MOD(INT(G310)-1,Control!$B$7)+1</x:f>
        <x:v>40</x:v>
      </x:c>
      <x:c r="I310" s="73" t="n">
        <x:f>MIN(Control!$B$6,MAX(1,INT(MAX(0,G310)/Control!$B$7)+1))</x:f>
        <x:v>2</x:v>
      </x:c>
      <x:c r="J310" s="73" t="n">
        <x:f>INDEX(Drivers!$H$8:$H$13,B310)</x:f>
        <x:v>1</x:v>
      </x:c>
      <x:c r="K310" s="73" t="n">
        <x:f>IF(J310=1,INDEX(TrackMap!$I$8:$I$141,H310),INDEX(TrackMap!$L$8:$L$141,H310))</x:f>
        <x:v>816</x:v>
      </x:c>
      <x:c r="L310" s="73" t="str">
        <x:f>INDEX(TrackMap!$F$8:$F$141,H310)</x:f>
        <x:v>→</x:v>
      </x:c>
      <x:c r="M310" s="87" t="n">
        <x:f>MAX(0,G310/Control!$B$17)</x:f>
        <x:v>0.2608477575289709</x:v>
      </x:c>
      <x:c r="N310" s="73" t="n">
        <x:f>IF(N304&gt;0,N304,IF(G310&gt;=Control!$B$17,A310,0))</x:f>
        <x:v>0</x:v>
      </x:c>
      <x:c r="O310" s="91" t="n">
        <x:f>IF(N310&gt;0,Control!$B$17+Control!$B$8+1-N310,G310)-B310/100000</x:f>
        <x:v>174.76796754441048</x:v>
      </x:c>
      <x:c r="P310" s="73" t="n">
        <x:f>COUNTIF($O$308:$O$313,"&gt;"&amp;O310)+1</x:f>
        <x:v>1</x:v>
      </x:c>
      <x:c r="Q310" s="83" t="n">
        <x:f>MAX($G$308:$G$313)-G310</x:f>
        <x:v>0</x:v>
      </x:c>
      <x:c r="R310" s="73" t="str">
        <x:f>INDEX(TrackMap!$B$8:$B$141,H310)</x:f>
        <x:v>西侧发卡弯</x:v>
      </x:c>
    </x:row>
    <x:row r="311" ht="20" customHeight="1">
      <x:c r="A311" s="73" t="n">
        <x:v>50</x:v>
      </x:c>
      <x:c r="B311" s="73" t="n">
        <x:v>4</x:v>
      </x:c>
      <x:c r="C311" s="73" t="str">
        <x:f>INDEX(Drivers!$B$8:$B$13,B311)</x:f>
        <x:v>紫影</x:v>
      </x:c>
      <x:c r="D311" s="83" t="n">
        <x:f>G305</x:f>
        <x:v>166.56218020708772</x:v>
      </x:c>
      <x:c r="E311" s="83" t="str">
        <x:f>IF(A311=0,"GRID",IF(D311&gt;=Control!$B$17,"FINISHED",IF(AND(A311&gt;=INDEX(Drivers!$G$8:$G$13,B311),A311&lt;INDEX(Drivers!$G$8:$G$13,B311)+INDEX(Drivers!$J$8:$J$13,B311)),"PIT",IF(MOD(A311+INDEX(Drivers!$F$8:$F$13,B311),Control!$B$11)&lt;Control!$B$13,"BOOST","RACE"))))</x:f>
        <x:v>RACE</x:v>
      </x:c>
      <x:c r="F311" s="83" t="n">
        <x:f>IF(OR(E311="GRID",E311="FINISHED",E311="PIT"),0,MAX(Control!$B$15,(INDEX(Drivers!$D$8:$D$13,B311)+INDEX(Drivers!$E$8:$E$13,B311)*SIN((A311+INDEX(Drivers!$F$8:$F$13,B311)+Control!$B$16)*Control!$B$14))*INDEX(TrackMap!$M$8:$M$141,MOD(INT(D311)-1,Control!$B$7)+1)*IF(E311="BOOST",Control!$B$12,1)))</x:f>
        <x:v>3.6197587853331554</x:v>
      </x:c>
      <x:c r="G311" s="83" t="n">
        <x:f>IF(A311=0,D311,MIN(Control!$B$17,D311+F311))</x:f>
        <x:v>170.18193899242087</x:v>
      </x:c>
      <x:c r="H311" s="73" t="n">
        <x:f>MOD(INT(G311)-1,Control!$B$7)+1</x:f>
        <x:v>36</x:v>
      </x:c>
      <x:c r="I311" s="73" t="n">
        <x:f>MIN(Control!$B$6,MAX(1,INT(MAX(0,G311)/Control!$B$7)+1))</x:f>
        <x:v>2</x:v>
      </x:c>
      <x:c r="J311" s="73" t="n">
        <x:f>INDEX(Drivers!$H$8:$H$13,B311)</x:f>
        <x:v>2</x:v>
      </x:c>
      <x:c r="K311" s="73" t="n">
        <x:f>IF(J311=1,INDEX(TrackMap!$I$8:$I$141,H311),INDEX(TrackMap!$L$8:$L$141,H311))</x:f>
        <x:v>912</x:v>
      </x:c>
      <x:c r="L311" s="73" t="str">
        <x:f>INDEX(TrackMap!$F$8:$F$141,H311)</x:f>
        <x:v>→</x:v>
      </x:c>
      <x:c r="M311" s="87" t="n">
        <x:f>MAX(0,G311/Control!$B$17)</x:f>
        <x:v>0.2540028940185386</x:v>
      </x:c>
      <x:c r="N311" s="73" t="n">
        <x:f>IF(N305&gt;0,N305,IF(G311&gt;=Control!$B$17,A311,0))</x:f>
        <x:v>0</x:v>
      </x:c>
      <x:c r="O311" s="91" t="n">
        <x:f>IF(N311&gt;0,Control!$B$17+Control!$B$8+1-N311,G311)-B311/100000</x:f>
        <x:v>170.18189899242086</x:v>
      </x:c>
      <x:c r="P311" s="73" t="n">
        <x:f>COUNTIF($O$308:$O$313,"&gt;"&amp;O311)+1</x:f>
        <x:v>3</x:v>
      </x:c>
      <x:c r="Q311" s="83" t="n">
        <x:f>MAX($G$308:$G$313)-G311</x:f>
        <x:v>4.586058551989623</x:v>
      </x:c>
      <x:c r="R311" s="73" t="str">
        <x:f>INDEX(TrackMap!$B$8:$B$141,H311)</x:f>
        <x:v>西侧发卡弯</x:v>
      </x:c>
    </x:row>
    <x:row r="312" ht="20" customHeight="1">
      <x:c r="A312" s="73" t="n">
        <x:v>50</x:v>
      </x:c>
      <x:c r="B312" s="73" t="n">
        <x:v>5</x:v>
      </x:c>
      <x:c r="C312" s="73" t="str">
        <x:f>INDEX(Drivers!$B$8:$B$13,B312)</x:f>
        <x:v>青锋</x:v>
      </x:c>
      <x:c r="D312" s="83" t="n">
        <x:f>G306</x:f>
        <x:v>160.02829987829412</x:v>
      </x:c>
      <x:c r="E312" s="83" t="str">
        <x:f>IF(A312=0,"GRID",IF(D312&gt;=Control!$B$17,"FINISHED",IF(AND(A312&gt;=INDEX(Drivers!$G$8:$G$13,B312),A312&lt;INDEX(Drivers!$G$8:$G$13,B312)+INDEX(Drivers!$J$8:$J$13,B312)),"PIT",IF(MOD(A312+INDEX(Drivers!$F$8:$F$13,B312),Control!$B$11)&lt;Control!$B$13,"BOOST","RACE"))))</x:f>
        <x:v>RACE</x:v>
      </x:c>
      <x:c r="F312" s="83" t="n">
        <x:f>IF(OR(E312="GRID",E312="FINISHED",E312="PIT"),0,MAX(Control!$B$15,(INDEX(Drivers!$D$8:$D$13,B312)+INDEX(Drivers!$E$8:$E$13,B312)*SIN((A312+INDEX(Drivers!$F$8:$F$13,B312)+Control!$B$16)*Control!$B$14))*INDEX(TrackMap!$M$8:$M$141,MOD(INT(D312)-1,Control!$B$7)+1)*IF(E312="BOOST",Control!$B$12,1)))</x:f>
        <x:v>2.842454788487018</x:v>
      </x:c>
      <x:c r="G312" s="83" t="n">
        <x:f>IF(A312=0,D312,MIN(Control!$B$17,D312+F312))</x:f>
        <x:v>162.87075466678112</x:v>
      </x:c>
      <x:c r="H312" s="73" t="n">
        <x:f>MOD(INT(G312)-1,Control!$B$7)+1</x:f>
        <x:v>28</x:v>
      </x:c>
      <x:c r="I312" s="73" t="n">
        <x:f>MIN(Control!$B$6,MAX(1,INT(MAX(0,G312)/Control!$B$7)+1))</x:f>
        <x:v>2</x:v>
      </x:c>
      <x:c r="J312" s="73" t="n">
        <x:f>INDEX(Drivers!$H$8:$H$13,B312)</x:f>
        <x:v>1</x:v>
      </x:c>
      <x:c r="K312" s="73" t="n">
        <x:f>IF(J312=1,INDEX(TrackMap!$I$8:$I$141,H312),INDEX(TrackMap!$L$8:$L$141,H312))</x:f>
        <x:v>1710</x:v>
      </x:c>
      <x:c r="L312" s="73" t="str">
        <x:f>INDEX(TrackMap!$F$8:$F$141,H312)</x:f>
        <x:v>↑</x:v>
      </x:c>
      <x:c r="M312" s="87" t="n">
        <x:f>MAX(0,G312/Control!$B$17)</x:f>
        <x:v>0.243090678607136</x:v>
      </x:c>
      <x:c r="N312" s="73" t="n">
        <x:f>IF(N306&gt;0,N306,IF(G312&gt;=Control!$B$17,A312,0))</x:f>
        <x:v>0</x:v>
      </x:c>
      <x:c r="O312" s="91" t="n">
        <x:f>IF(N312&gt;0,Control!$B$17+Control!$B$8+1-N312,G312)-B312/100000</x:f>
        <x:v>162.87070466678114</x:v>
      </x:c>
      <x:c r="P312" s="73" t="n">
        <x:f>COUNTIF($O$308:$O$313,"&gt;"&amp;O312)+1</x:f>
        <x:v>6</x:v>
      </x:c>
      <x:c r="Q312" s="83" t="n">
        <x:f>MAX($G$308:$G$313)-G312</x:f>
        <x:v>11.897242877629367</x:v>
      </x:c>
      <x:c r="R312" s="73" t="str">
        <x:f>INDEX(TrackMap!$B$8:$B$141,H312)</x:f>
        <x:v>西侧上坡弯</x:v>
      </x:c>
    </x:row>
    <x:row r="313" ht="20" customHeight="1">
      <x:c r="A313" s="73" t="n">
        <x:v>50</x:v>
      </x:c>
      <x:c r="B313" s="73" t="n">
        <x:v>6</x:v>
      </x:c>
      <x:c r="C313" s="73" t="str">
        <x:f>INDEX(Drivers!$B$8:$B$13,B313)</x:f>
        <x:v>玫速</x:v>
      </x:c>
      <x:c r="D313" s="83" t="n">
        <x:f>G307</x:f>
        <x:v>163.00041607603887</x:v>
      </x:c>
      <x:c r="E313" s="83" t="str">
        <x:f>IF(A313=0,"GRID",IF(D313&gt;=Control!$B$17,"FINISHED",IF(AND(A313&gt;=INDEX(Drivers!$G$8:$G$13,B313),A313&lt;INDEX(Drivers!$G$8:$G$13,B313)+INDEX(Drivers!$J$8:$J$13,B313)),"PIT",IF(MOD(A313+INDEX(Drivers!$F$8:$F$13,B313),Control!$B$11)&lt;Control!$B$13,"BOOST","RACE"))))</x:f>
        <x:v>BOOST</x:v>
      </x:c>
      <x:c r="F313" s="83" t="n">
        <x:f>IF(OR(E313="GRID",E313="FINISHED",E313="PIT"),0,MAX(Control!$B$15,(INDEX(Drivers!$D$8:$D$13,B313)+INDEX(Drivers!$E$8:$E$13,B313)*SIN((A313+INDEX(Drivers!$F$8:$F$13,B313)+Control!$B$16)*Control!$B$14))*INDEX(TrackMap!$M$8:$M$141,MOD(INT(D313)-1,Control!$B$7)+1)*IF(E313="BOOST",Control!$B$12,1)))</x:f>
        <x:v>5.373515553605257</x:v>
      </x:c>
      <x:c r="G313" s="83" t="n">
        <x:f>IF(A313=0,D313,MIN(Control!$B$17,D313+F313))</x:f>
        <x:v>168.37393162964412</x:v>
      </x:c>
      <x:c r="H313" s="73" t="n">
        <x:f>MOD(INT(G313)-1,Control!$B$7)+1</x:f>
        <x:v>34</x:v>
      </x:c>
      <x:c r="I313" s="73" t="n">
        <x:f>MIN(Control!$B$6,MAX(1,INT(MAX(0,G313)/Control!$B$7)+1))</x:f>
        <x:v>2</x:v>
      </x:c>
      <x:c r="J313" s="73" t="n">
        <x:f>INDEX(Drivers!$H$8:$H$13,B313)</x:f>
        <x:v>2</x:v>
      </x:c>
      <x:c r="K313" s="73" t="n">
        <x:f>IF(J313=1,INDEX(TrackMap!$I$8:$I$141,H313),INDEX(TrackMap!$L$8:$L$141,H313))</x:f>
        <x:v>1111</x:v>
      </x:c>
      <x:c r="L313" s="73" t="str">
        <x:f>INDEX(TrackMap!$F$8:$F$141,H313)</x:f>
        <x:v>↑</x:v>
      </x:c>
      <x:c r="M313" s="87" t="n">
        <x:f>MAX(0,G313/Control!$B$17)</x:f>
        <x:v>0.251304375566633</x:v>
      </x:c>
      <x:c r="N313" s="73" t="n">
        <x:f>IF(N307&gt;0,N307,IF(G313&gt;=Control!$B$17,A313,0))</x:f>
        <x:v>0</x:v>
      </x:c>
      <x:c r="O313" s="91" t="n">
        <x:f>IF(N313&gt;0,Control!$B$17+Control!$B$8+1-N313,G313)-B313/100000</x:f>
        <x:v>168.37387162964413</x:v>
      </x:c>
      <x:c r="P313" s="73" t="n">
        <x:f>COUNTIF($O$308:$O$313,"&gt;"&amp;O313)+1</x:f>
        <x:v>4</x:v>
      </x:c>
      <x:c r="Q313" s="83" t="n">
        <x:f>MAX($G$308:$G$313)-G313</x:f>
        <x:v>6.394065914766372</x:v>
      </x:c>
      <x:c r="R313" s="73" t="str">
        <x:f>INDEX(TrackMap!$B$8:$B$141,H313)</x:f>
        <x:v>西侧上坡弯</x:v>
      </x:c>
    </x:row>
    <x:row r="314" ht="20" customHeight="1">
      <x:c r="A314" s="73" t="n">
        <x:v>51</x:v>
      </x:c>
      <x:c r="B314" s="73" t="n">
        <x:v>1</x:v>
      </x:c>
      <x:c r="C314" s="73" t="str">
        <x:f>INDEX(Drivers!$B$8:$B$13,B314)</x:f>
        <x:v>赤焰</x:v>
      </x:c>
      <x:c r="D314" s="83" t="n">
        <x:f>G308</x:f>
        <x:v>172.36348817787234</x:v>
      </x:c>
      <x:c r="E314" s="83" t="str">
        <x:f>IF(A314=0,"GRID",IF(D314&gt;=Control!$B$17,"FINISHED",IF(AND(A314&gt;=INDEX(Drivers!$G$8:$G$13,B314),A314&lt;INDEX(Drivers!$G$8:$G$13,B314)+INDEX(Drivers!$J$8:$J$13,B314)),"PIT",IF(MOD(A314+INDEX(Drivers!$F$8:$F$13,B314),Control!$B$11)&lt;Control!$B$13,"BOOST","RACE"))))</x:f>
        <x:v>RACE</x:v>
      </x:c>
      <x:c r="F314" s="83" t="n">
        <x:f>IF(OR(E314="GRID",E314="FINISHED",E314="PIT"),0,MAX(Control!$B$15,(INDEX(Drivers!$D$8:$D$13,B314)+INDEX(Drivers!$E$8:$E$13,B314)*SIN((A314+INDEX(Drivers!$F$8:$F$13,B314)+Control!$B$16)*Control!$B$14))*INDEX(TrackMap!$M$8:$M$141,MOD(INT(D314)-1,Control!$B$7)+1)*IF(E314="BOOST",Control!$B$12,1)))</x:f>
        <x:v>2.468087247015492</x:v>
      </x:c>
      <x:c r="G314" s="83" t="n">
        <x:f>IF(A314=0,D314,MIN(Control!$B$17,D314+F314))</x:f>
        <x:v>174.83157542488783</x:v>
      </x:c>
      <x:c r="H314" s="73" t="n">
        <x:f>MOD(INT(G314)-1,Control!$B$7)+1</x:f>
        <x:v>40</x:v>
      </x:c>
      <x:c r="I314" s="73" t="n">
        <x:f>MIN(Control!$B$6,MAX(1,INT(MAX(0,G314)/Control!$B$7)+1))</x:f>
        <x:v>2</x:v>
      </x:c>
      <x:c r="J314" s="73" t="n">
        <x:f>INDEX(Drivers!$H$8:$H$13,B314)</x:f>
        <x:v>1</x:v>
      </x:c>
      <x:c r="K314" s="73" t="n">
        <x:f>IF(J314=1,INDEX(TrackMap!$I$8:$I$141,H314),INDEX(TrackMap!$L$8:$L$141,H314))</x:f>
        <x:v>816</x:v>
      </x:c>
      <x:c r="L314" s="73" t="str">
        <x:f>INDEX(TrackMap!$F$8:$F$141,H314)</x:f>
        <x:v>→</x:v>
      </x:c>
      <x:c r="M314" s="87" t="n">
        <x:f>MAX(0,G314/Control!$B$17)</x:f>
        <x:v>0.2609426498878923</x:v>
      </x:c>
      <x:c r="N314" s="73" t="n">
        <x:f>IF(N308&gt;0,N308,IF(G314&gt;=Control!$B$17,A314,0))</x:f>
        <x:v>0</x:v>
      </x:c>
      <x:c r="O314" s="91" t="n">
        <x:f>IF(N314&gt;0,Control!$B$17+Control!$B$8+1-N314,G314)-B314/100000</x:f>
        <x:v>174.83156542488783</x:v>
      </x:c>
      <x:c r="P314" s="73" t="n">
        <x:f>COUNTIF($O$314:$O$319,"&gt;"&amp;O314)+1</x:f>
        <x:v>2</x:v>
      </x:c>
      <x:c r="Q314" s="83" t="n">
        <x:f>MAX($G$314:$G$319)-G314</x:f>
        <x:v>2.50390977677975</x:v>
      </x:c>
      <x:c r="R314" s="73" t="str">
        <x:f>INDEX(TrackMap!$B$8:$B$141,H314)</x:f>
        <x:v>西侧发卡弯</x:v>
      </x:c>
    </x:row>
    <x:row r="315" ht="20" customHeight="1">
      <x:c r="A315" s="73" t="n">
        <x:v>51</x:v>
      </x:c>
      <x:c r="B315" s="73" t="n">
        <x:v>2</x:v>
      </x:c>
      <x:c r="C315" s="73" t="str">
        <x:f>INDEX(Drivers!$B$8:$B$13,B315)</x:f>
        <x:v>蓝电</x:v>
      </x:c>
      <x:c r="D315" s="83" t="n">
        <x:f>G309</x:f>
        <x:v>167.161896248552</x:v>
      </x:c>
      <x:c r="E315" s="83" t="str">
        <x:f>IF(A315=0,"GRID",IF(D315&gt;=Control!$B$17,"FINISHED",IF(AND(A315&gt;=INDEX(Drivers!$G$8:$G$13,B315),A315&lt;INDEX(Drivers!$G$8:$G$13,B315)+INDEX(Drivers!$J$8:$J$13,B315)),"PIT",IF(MOD(A315+INDEX(Drivers!$F$8:$F$13,B315),Control!$B$11)&lt;Control!$B$13,"BOOST","RACE"))))</x:f>
        <x:v>RACE</x:v>
      </x:c>
      <x:c r="F315" s="83" t="n">
        <x:f>IF(OR(E315="GRID",E315="FINISHED",E315="PIT"),0,MAX(Control!$B$15,(INDEX(Drivers!$D$8:$D$13,B315)+INDEX(Drivers!$E$8:$E$13,B315)*SIN((A315+INDEX(Drivers!$F$8:$F$13,B315)+Control!$B$16)*Control!$B$14))*INDEX(TrackMap!$M$8:$M$141,MOD(INT(D315)-1,Control!$B$7)+1)*IF(E315="BOOST",Control!$B$12,1)))</x:f>
        <x:v>4.178789301095453</x:v>
      </x:c>
      <x:c r="G315" s="83" t="n">
        <x:f>IF(A315=0,D315,MIN(Control!$B$17,D315+F315))</x:f>
        <x:v>171.34068554964747</x:v>
      </x:c>
      <x:c r="H315" s="73" t="n">
        <x:f>MOD(INT(G315)-1,Control!$B$7)+1</x:f>
        <x:v>37</x:v>
      </x:c>
      <x:c r="I315" s="73" t="n">
        <x:f>MIN(Control!$B$6,MAX(1,INT(MAX(0,G315)/Control!$B$7)+1))</x:f>
        <x:v>2</x:v>
      </x:c>
      <x:c r="J315" s="73" t="n">
        <x:f>INDEX(Drivers!$H$8:$H$13,B315)</x:f>
        <x:v>2</x:v>
      </x:c>
      <x:c r="K315" s="73" t="n">
        <x:f>IF(J315=1,INDEX(TrackMap!$I$8:$I$141,H315),INDEX(TrackMap!$L$8:$L$141,H315))</x:f>
        <x:v>913</x:v>
      </x:c>
      <x:c r="L315" s="73" t="str">
        <x:f>INDEX(TrackMap!$F$8:$F$141,H315)</x:f>
        <x:v>→</x:v>
      </x:c>
      <x:c r="M315" s="87" t="n">
        <x:f>MAX(0,G315/Control!$B$17)</x:f>
        <x:v>0.25573236649201114</x:v>
      </x:c>
      <x:c r="N315" s="73" t="n">
        <x:f>IF(N309&gt;0,N309,IF(G315&gt;=Control!$B$17,A315,0))</x:f>
        <x:v>0</x:v>
      </x:c>
      <x:c r="O315" s="91" t="n">
        <x:f>IF(N315&gt;0,Control!$B$17+Control!$B$8+1-N315,G315)-B315/100000</x:f>
        <x:v>171.34066554964747</x:v>
      </x:c>
      <x:c r="P315" s="73" t="n">
        <x:f>COUNTIF($O$314:$O$319,"&gt;"&amp;O315)+1</x:f>
        <x:v>5</x:v>
      </x:c>
      <x:c r="Q315" s="83" t="n">
        <x:f>MAX($G$314:$G$319)-G315</x:f>
        <x:v>5.994799652020106</x:v>
      </x:c>
      <x:c r="R315" s="73" t="str">
        <x:f>INDEX(TrackMap!$B$8:$B$141,H315)</x:f>
        <x:v>西侧发卡弯</x:v>
      </x:c>
    </x:row>
    <x:row r="316" ht="20" customHeight="1">
      <x:c r="A316" s="73" t="n">
        <x:v>51</x:v>
      </x:c>
      <x:c r="B316" s="73" t="n">
        <x:v>3</x:v>
      </x:c>
      <x:c r="C316" s="73" t="str">
        <x:f>INDEX(Drivers!$B$8:$B$13,B316)</x:f>
        <x:v>金翼</x:v>
      </x:c>
      <x:c r="D316" s="83" t="n">
        <x:f>G310</x:f>
        <x:v>174.7679975444105</x:v>
      </x:c>
      <x:c r="E316" s="83" t="str">
        <x:f>IF(A316=0,"GRID",IF(D316&gt;=Control!$B$17,"FINISHED",IF(AND(A316&gt;=INDEX(Drivers!$G$8:$G$13,B316),A316&lt;INDEX(Drivers!$G$8:$G$13,B316)+INDEX(Drivers!$J$8:$J$13,B316)),"PIT",IF(MOD(A316+INDEX(Drivers!$F$8:$F$13,B316),Control!$B$11)&lt;Control!$B$13,"BOOST","RACE"))))</x:f>
        <x:v>RACE</x:v>
      </x:c>
      <x:c r="F316" s="83" t="n">
        <x:f>IF(OR(E316="GRID",E316="FINISHED",E316="PIT"),0,MAX(Control!$B$15,(INDEX(Drivers!$D$8:$D$13,B316)+INDEX(Drivers!$E$8:$E$13,B316)*SIN((A316+INDEX(Drivers!$F$8:$F$13,B316)+Control!$B$16)*Control!$B$14))*INDEX(TrackMap!$M$8:$M$141,MOD(INT(D316)-1,Control!$B$7)+1)*IF(E316="BOOST",Control!$B$12,1)))</x:f>
        <x:v>2.5674876572570926</x:v>
      </x:c>
      <x:c r="G316" s="83" t="n">
        <x:f>IF(A316=0,D316,MIN(Control!$B$17,D316+F316))</x:f>
        <x:v>177.33548520166758</x:v>
      </x:c>
      <x:c r="H316" s="73" t="n">
        <x:f>MOD(INT(G316)-1,Control!$B$7)+1</x:f>
        <x:v>43</x:v>
      </x:c>
      <x:c r="I316" s="73" t="n">
        <x:f>MIN(Control!$B$6,MAX(1,INT(MAX(0,G316)/Control!$B$7)+1))</x:f>
        <x:v>2</x:v>
      </x:c>
      <x:c r="J316" s="73" t="n">
        <x:f>INDEX(Drivers!$H$8:$H$13,B316)</x:f>
        <x:v>1</x:v>
      </x:c>
      <x:c r="K316" s="73" t="n">
        <x:f>IF(J316=1,INDEX(TrackMap!$I$8:$I$141,H316),INDEX(TrackMap!$L$8:$L$141,H316))</x:f>
        <x:v>1020</x:v>
      </x:c>
      <x:c r="L316" s="73" t="str">
        <x:f>INDEX(TrackMap!$F$8:$F$141,H316)</x:f>
        <x:v>↓</x:v>
      </x:c>
      <x:c r="M316" s="87" t="n">
        <x:f>MAX(0,G316/Control!$B$17)</x:f>
        <x:v>0.26467982865920536</x:v>
      </x:c>
      <x:c r="N316" s="73" t="n">
        <x:f>IF(N310&gt;0,N310,IF(G316&gt;=Control!$B$17,A316,0))</x:f>
        <x:v>0</x:v>
      </x:c>
      <x:c r="O316" s="91" t="n">
        <x:f>IF(N316&gt;0,Control!$B$17+Control!$B$8+1-N316,G316)-B316/100000</x:f>
        <x:v>177.33545520166757</x:v>
      </x:c>
      <x:c r="P316" s="73" t="n">
        <x:f>COUNTIF($O$314:$O$319,"&gt;"&amp;O316)+1</x:f>
        <x:v>1</x:v>
      </x:c>
      <x:c r="Q316" s="83" t="n">
        <x:f>MAX($G$314:$G$319)-G316</x:f>
        <x:v>0</x:v>
      </x:c>
      <x:c r="R316" s="73" t="str">
        <x:f>INDEX(TrackMap!$B$8:$B$141,H316)</x:f>
        <x:v>西侧发卡弯</x:v>
      </x:c>
    </x:row>
    <x:row r="317" ht="20" customHeight="1">
      <x:c r="A317" s="73" t="n">
        <x:v>51</x:v>
      </x:c>
      <x:c r="B317" s="73" t="n">
        <x:v>4</x:v>
      </x:c>
      <x:c r="C317" s="73" t="str">
        <x:f>INDEX(Drivers!$B$8:$B$13,B317)</x:f>
        <x:v>紫影</x:v>
      </x:c>
      <x:c r="D317" s="83" t="n">
        <x:f>G311</x:f>
        <x:v>170.18193899242087</x:v>
      </x:c>
      <x:c r="E317" s="83" t="str">
        <x:f>IF(A317=0,"GRID",IF(D317&gt;=Control!$B$17,"FINISHED",IF(AND(A317&gt;=INDEX(Drivers!$G$8:$G$13,B317),A317&lt;INDEX(Drivers!$G$8:$G$13,B317)+INDEX(Drivers!$J$8:$J$13,B317)),"PIT",IF(MOD(A317+INDEX(Drivers!$F$8:$F$13,B317),Control!$B$11)&lt;Control!$B$13,"BOOST","RACE"))))</x:f>
        <x:v>RACE</x:v>
      </x:c>
      <x:c r="F317" s="83" t="n">
        <x:f>IF(OR(E317="GRID",E317="FINISHED",E317="PIT"),0,MAX(Control!$B$15,(INDEX(Drivers!$D$8:$D$13,B317)+INDEX(Drivers!$E$8:$E$13,B317)*SIN((A317+INDEX(Drivers!$F$8:$F$13,B317)+Control!$B$16)*Control!$B$14))*INDEX(TrackMap!$M$8:$M$141,MOD(INT(D317)-1,Control!$B$7)+1)*IF(E317="BOOST",Control!$B$12,1)))</x:f>
        <x:v>2.985868755324627</x:v>
      </x:c>
      <x:c r="G317" s="83" t="n">
        <x:f>IF(A317=0,D317,MIN(Control!$B$17,D317+F317))</x:f>
        <x:v>173.16780774774548</x:v>
      </x:c>
      <x:c r="H317" s="73" t="n">
        <x:f>MOD(INT(G317)-1,Control!$B$7)+1</x:f>
        <x:v>39</x:v>
      </x:c>
      <x:c r="I317" s="73" t="n">
        <x:f>MIN(Control!$B$6,MAX(1,INT(MAX(0,G317)/Control!$B$7)+1))</x:f>
        <x:v>2</x:v>
      </x:c>
      <x:c r="J317" s="73" t="n">
        <x:f>INDEX(Drivers!$H$8:$H$13,B317)</x:f>
        <x:v>2</x:v>
      </x:c>
      <x:c r="K317" s="73" t="n">
        <x:f>IF(J317=1,INDEX(TrackMap!$I$8:$I$141,H317),INDEX(TrackMap!$L$8:$L$141,H317))</x:f>
        <x:v>915</x:v>
      </x:c>
      <x:c r="L317" s="73" t="str">
        <x:f>INDEX(TrackMap!$F$8:$F$141,H317)</x:f>
        <x:v>→</x:v>
      </x:c>
      <x:c r="M317" s="87" t="n">
        <x:f>MAX(0,G317/Control!$B$17)</x:f>
        <x:v>0.25845941454887383</x:v>
      </x:c>
      <x:c r="N317" s="73" t="n">
        <x:f>IF(N311&gt;0,N311,IF(G317&gt;=Control!$B$17,A317,0))</x:f>
        <x:v>0</x:v>
      </x:c>
      <x:c r="O317" s="91" t="n">
        <x:f>IF(N317&gt;0,Control!$B$17+Control!$B$8+1-N317,G317)-B317/100000</x:f>
        <x:v>173.16776774774547</x:v>
      </x:c>
      <x:c r="P317" s="73" t="n">
        <x:f>COUNTIF($O$314:$O$319,"&gt;"&amp;O317)+1</x:f>
        <x:v>3</x:v>
      </x:c>
      <x:c r="Q317" s="83" t="n">
        <x:f>MAX($G$314:$G$319)-G317</x:f>
        <x:v>4.167677453922096</x:v>
      </x:c>
      <x:c r="R317" s="73" t="str">
        <x:f>INDEX(TrackMap!$B$8:$B$141,H317)</x:f>
        <x:v>西侧发卡弯</x:v>
      </x:c>
    </x:row>
    <x:row r="318" ht="20" customHeight="1">
      <x:c r="A318" s="73" t="n">
        <x:v>51</x:v>
      </x:c>
      <x:c r="B318" s="73" t="n">
        <x:v>5</x:v>
      </x:c>
      <x:c r="C318" s="73" t="str">
        <x:f>INDEX(Drivers!$B$8:$B$13,B318)</x:f>
        <x:v>青锋</x:v>
      </x:c>
      <x:c r="D318" s="83" t="n">
        <x:f>G312</x:f>
        <x:v>162.87075466678112</x:v>
      </x:c>
      <x:c r="E318" s="83" t="str">
        <x:f>IF(A318=0,"GRID",IF(D318&gt;=Control!$B$17,"FINISHED",IF(AND(A318&gt;=INDEX(Drivers!$G$8:$G$13,B318),A318&lt;INDEX(Drivers!$G$8:$G$13,B318)+INDEX(Drivers!$J$8:$J$13,B318)),"PIT",IF(MOD(A318+INDEX(Drivers!$F$8:$F$13,B318),Control!$B$11)&lt;Control!$B$13,"BOOST","RACE"))))</x:f>
        <x:v>RACE</x:v>
      </x:c>
      <x:c r="F318" s="83" t="n">
        <x:f>IF(OR(E318="GRID",E318="FINISHED",E318="PIT"),0,MAX(Control!$B$15,(INDEX(Drivers!$D$8:$D$13,B318)+INDEX(Drivers!$E$8:$E$13,B318)*SIN((A318+INDEX(Drivers!$F$8:$F$13,B318)+Control!$B$16)*Control!$B$14))*INDEX(TrackMap!$M$8:$M$141,MOD(INT(D318)-1,Control!$B$7)+1)*IF(E318="BOOST",Control!$B$12,1)))</x:f>
        <x:v>3.831183862627083</x:v>
      </x:c>
      <x:c r="G318" s="83" t="n">
        <x:f>IF(A318=0,D318,MIN(Control!$B$17,D318+F318))</x:f>
        <x:v>166.7019385294082</x:v>
      </x:c>
      <x:c r="H318" s="73" t="n">
        <x:f>MOD(INT(G318)-1,Control!$B$7)+1</x:f>
        <x:v>32</x:v>
      </x:c>
      <x:c r="I318" s="73" t="n">
        <x:f>MIN(Control!$B$6,MAX(1,INT(MAX(0,G318)/Control!$B$7)+1))</x:f>
        <x:v>2</x:v>
      </x:c>
      <x:c r="J318" s="73" t="n">
        <x:f>INDEX(Drivers!$H$8:$H$13,B318)</x:f>
        <x:v>1</x:v>
      </x:c>
      <x:c r="K318" s="73" t="n">
        <x:f>IF(J318=1,INDEX(TrackMap!$I$8:$I$141,H318),INDEX(TrackMap!$L$8:$L$141,H318))</x:f>
        <x:v>1310</x:v>
      </x:c>
      <x:c r="L318" s="73" t="str">
        <x:f>INDEX(TrackMap!$F$8:$F$141,H318)</x:f>
        <x:v>↑</x:v>
      </x:c>
      <x:c r="M318" s="87" t="n">
        <x:f>MAX(0,G318/Control!$B$17)</x:f>
        <x:v>0.24880886347672868</x:v>
      </x:c>
      <x:c r="N318" s="73" t="n">
        <x:f>IF(N312&gt;0,N312,IF(G318&gt;=Control!$B$17,A318,0))</x:f>
        <x:v>0</x:v>
      </x:c>
      <x:c r="O318" s="91" t="n">
        <x:f>IF(N318&gt;0,Control!$B$17+Control!$B$8+1-N318,G318)-B318/100000</x:f>
        <x:v>166.70188852940822</x:v>
      </x:c>
      <x:c r="P318" s="73" t="n">
        <x:f>COUNTIF($O$314:$O$319,"&gt;"&amp;O318)+1</x:f>
        <x:v>6</x:v>
      </x:c>
      <x:c r="Q318" s="83" t="n">
        <x:f>MAX($G$314:$G$319)-G318</x:f>
        <x:v>10.63354667225937</x:v>
      </x:c>
      <x:c r="R318" s="73" t="str">
        <x:f>INDEX(TrackMap!$B$8:$B$141,H318)</x:f>
        <x:v>西侧上坡弯</x:v>
      </x:c>
    </x:row>
    <x:row r="319" ht="20" customHeight="1">
      <x:c r="A319" s="73" t="n">
        <x:v>51</x:v>
      </x:c>
      <x:c r="B319" s="73" t="n">
        <x:v>6</x:v>
      </x:c>
      <x:c r="C319" s="73" t="str">
        <x:f>INDEX(Drivers!$B$8:$B$13,B319)</x:f>
        <x:v>玫速</x:v>
      </x:c>
      <x:c r="D319" s="83" t="n">
        <x:f>G313</x:f>
        <x:v>168.37393162964412</x:v>
      </x:c>
      <x:c r="E319" s="83" t="str">
        <x:f>IF(A319=0,"GRID",IF(D319&gt;=Control!$B$17,"FINISHED",IF(AND(A319&gt;=INDEX(Drivers!$G$8:$G$13,B319),A319&lt;INDEX(Drivers!$G$8:$G$13,B319)+INDEX(Drivers!$J$8:$J$13,B319)),"PIT",IF(MOD(A319+INDEX(Drivers!$F$8:$F$13,B319),Control!$B$11)&lt;Control!$B$13,"BOOST","RACE"))))</x:f>
        <x:v>BOOST</x:v>
      </x:c>
      <x:c r="F319" s="83" t="n">
        <x:f>IF(OR(E319="GRID",E319="FINISHED",E319="PIT"),0,MAX(Control!$B$15,(INDEX(Drivers!$D$8:$D$13,B319)+INDEX(Drivers!$E$8:$E$13,B319)*SIN((A319+INDEX(Drivers!$F$8:$F$13,B319)+Control!$B$16)*Control!$B$14))*INDEX(TrackMap!$M$8:$M$141,MOD(INT(D319)-1,Control!$B$7)+1)*IF(E319="BOOST",Control!$B$12,1)))</x:f>
        <x:v>3.9721615173510236</x:v>
      </x:c>
      <x:c r="G319" s="83" t="n">
        <x:f>IF(A319=0,D319,MIN(Control!$B$17,D319+F319))</x:f>
        <x:v>172.34609314699514</x:v>
      </x:c>
      <x:c r="H319" s="73" t="n">
        <x:f>MOD(INT(G319)-1,Control!$B$7)+1</x:f>
        <x:v>38</x:v>
      </x:c>
      <x:c r="I319" s="73" t="n">
        <x:f>MIN(Control!$B$6,MAX(1,INT(MAX(0,G319)/Control!$B$7)+1))</x:f>
        <x:v>2</x:v>
      </x:c>
      <x:c r="J319" s="73" t="n">
        <x:f>INDEX(Drivers!$H$8:$H$13,B319)</x:f>
        <x:v>2</x:v>
      </x:c>
      <x:c r="K319" s="73" t="n">
        <x:f>IF(J319=1,INDEX(TrackMap!$I$8:$I$141,H319),INDEX(TrackMap!$L$8:$L$141,H319))</x:f>
        <x:v>914</x:v>
      </x:c>
      <x:c r="L319" s="73" t="str">
        <x:f>INDEX(TrackMap!$F$8:$F$141,H319)</x:f>
        <x:v>→</x:v>
      </x:c>
      <x:c r="M319" s="87" t="n">
        <x:f>MAX(0,G319/Control!$B$17)</x:f>
        <x:v>0.2572329748462614</x:v>
      </x:c>
      <x:c r="N319" s="73" t="n">
        <x:f>IF(N313&gt;0,N313,IF(G319&gt;=Control!$B$17,A319,0))</x:f>
        <x:v>0</x:v>
      </x:c>
      <x:c r="O319" s="91" t="n">
        <x:f>IF(N319&gt;0,Control!$B$17+Control!$B$8+1-N319,G319)-B319/100000</x:f>
        <x:v>172.34603314699515</x:v>
      </x:c>
      <x:c r="P319" s="73" t="n">
        <x:f>COUNTIF($O$314:$O$319,"&gt;"&amp;O319)+1</x:f>
        <x:v>4</x:v>
      </x:c>
      <x:c r="Q319" s="83" t="n">
        <x:f>MAX($G$314:$G$319)-G319</x:f>
        <x:v>4.989392054672436</x:v>
      </x:c>
      <x:c r="R319" s="73" t="str">
        <x:f>INDEX(TrackMap!$B$8:$B$141,H319)</x:f>
        <x:v>西侧发卡弯</x:v>
      </x:c>
    </x:row>
    <x:row r="320" ht="20" customHeight="1">
      <x:c r="A320" s="73" t="n">
        <x:v>52</x:v>
      </x:c>
      <x:c r="B320" s="73" t="n">
        <x:v>1</x:v>
      </x:c>
      <x:c r="C320" s="73" t="str">
        <x:f>INDEX(Drivers!$B$8:$B$13,B320)</x:f>
        <x:v>赤焰</x:v>
      </x:c>
      <x:c r="D320" s="83" t="n">
        <x:f>G314</x:f>
        <x:v>174.83157542488783</x:v>
      </x:c>
      <x:c r="E320" s="83" t="str">
        <x:f>IF(A320=0,"GRID",IF(D320&gt;=Control!$B$17,"FINISHED",IF(AND(A320&gt;=INDEX(Drivers!$G$8:$G$13,B320),A320&lt;INDEX(Drivers!$G$8:$G$13,B320)+INDEX(Drivers!$J$8:$J$13,B320)),"PIT",IF(MOD(A320+INDEX(Drivers!$F$8:$F$13,B320),Control!$B$11)&lt;Control!$B$13,"BOOST","RACE"))))</x:f>
        <x:v>RACE</x:v>
      </x:c>
      <x:c r="F320" s="83" t="n">
        <x:f>IF(OR(E320="GRID",E320="FINISHED",E320="PIT"),0,MAX(Control!$B$15,(INDEX(Drivers!$D$8:$D$13,B320)+INDEX(Drivers!$E$8:$E$13,B320)*SIN((A320+INDEX(Drivers!$F$8:$F$13,B320)+Control!$B$16)*Control!$B$14))*INDEX(TrackMap!$M$8:$M$141,MOD(INT(D320)-1,Control!$B$7)+1)*IF(E320="BOOST",Control!$B$12,1)))</x:f>
        <x:v>2.5664725401912785</x:v>
      </x:c>
      <x:c r="G320" s="83" t="n">
        <x:f>IF(A320=0,D320,MIN(Control!$B$17,D320+F320))</x:f>
        <x:v>177.39804796507912</x:v>
      </x:c>
      <x:c r="H320" s="73" t="n">
        <x:f>MOD(INT(G320)-1,Control!$B$7)+1</x:f>
        <x:v>43</x:v>
      </x:c>
      <x:c r="I320" s="73" t="n">
        <x:f>MIN(Control!$B$6,MAX(1,INT(MAX(0,G320)/Control!$B$7)+1))</x:f>
        <x:v>2</x:v>
      </x:c>
      <x:c r="J320" s="73" t="n">
        <x:f>INDEX(Drivers!$H$8:$H$13,B320)</x:f>
        <x:v>1</x:v>
      </x:c>
      <x:c r="K320" s="73" t="n">
        <x:f>IF(J320=1,INDEX(TrackMap!$I$8:$I$141,H320),INDEX(TrackMap!$L$8:$L$141,H320))</x:f>
        <x:v>1020</x:v>
      </x:c>
      <x:c r="L320" s="73" t="str">
        <x:f>INDEX(TrackMap!$F$8:$F$141,H320)</x:f>
        <x:v>↓</x:v>
      </x:c>
      <x:c r="M320" s="87" t="n">
        <x:f>MAX(0,G320/Control!$B$17)</x:f>
        <x:v>0.26477320591802855</x:v>
      </x:c>
      <x:c r="N320" s="73" t="n">
        <x:f>IF(N314&gt;0,N314,IF(G320&gt;=Control!$B$17,A320,0))</x:f>
        <x:v>0</x:v>
      </x:c>
      <x:c r="O320" s="91" t="n">
        <x:f>IF(N320&gt;0,Control!$B$17+Control!$B$8+1-N320,G320)-B320/100000</x:f>
        <x:v>177.3980379650791</x:v>
      </x:c>
      <x:c r="P320" s="73" t="n">
        <x:f>COUNTIF($O$320:$O$325,"&gt;"&amp;O320)+1</x:f>
        <x:v>2</x:v>
      </x:c>
      <x:c r="Q320" s="83" t="n">
        <x:f>MAX($G$320:$G$325)-G320</x:f>
        <x:v>2.4450960004426747</x:v>
      </x:c>
      <x:c r="R320" s="73" t="str">
        <x:f>INDEX(TrackMap!$B$8:$B$141,H320)</x:f>
        <x:v>西侧发卡弯</x:v>
      </x:c>
    </x:row>
    <x:row r="321" ht="20" customHeight="1">
      <x:c r="A321" s="73" t="n">
        <x:v>52</x:v>
      </x:c>
      <x:c r="B321" s="73" t="n">
        <x:v>2</x:v>
      </x:c>
      <x:c r="C321" s="73" t="str">
        <x:f>INDEX(Drivers!$B$8:$B$13,B321)</x:f>
        <x:v>蓝电</x:v>
      </x:c>
      <x:c r="D321" s="83" t="n">
        <x:f>G315</x:f>
        <x:v>171.34068554964747</x:v>
      </x:c>
      <x:c r="E321" s="83" t="str">
        <x:f>IF(A321=0,"GRID",IF(D321&gt;=Control!$B$17,"FINISHED",IF(AND(A321&gt;=INDEX(Drivers!$G$8:$G$13,B321),A321&lt;INDEX(Drivers!$G$8:$G$13,B321)+INDEX(Drivers!$J$8:$J$13,B321)),"PIT",IF(MOD(A321+INDEX(Drivers!$F$8:$F$13,B321),Control!$B$11)&lt;Control!$B$13,"BOOST","RACE"))))</x:f>
        <x:v>BOOST</x:v>
      </x:c>
      <x:c r="F321" s="83" t="n">
        <x:f>IF(OR(E321="GRID",E321="FINISHED",E321="PIT"),0,MAX(Control!$B$15,(INDEX(Drivers!$D$8:$D$13,B321)+INDEX(Drivers!$E$8:$E$13,B321)*SIN((A321+INDEX(Drivers!$F$8:$F$13,B321)+Control!$B$16)*Control!$B$14))*INDEX(TrackMap!$M$8:$M$141,MOD(INT(D321)-1,Control!$B$7)+1)*IF(E321="BOOST",Control!$B$12,1)))</x:f>
        <x:v>4.372102397670635</x:v>
      </x:c>
      <x:c r="G321" s="83" t="n">
        <x:f>IF(A321=0,D321,MIN(Control!$B$17,D321+F321))</x:f>
        <x:v>175.7127879473181</x:v>
      </x:c>
      <x:c r="H321" s="73" t="n">
        <x:f>MOD(INT(G321)-1,Control!$B$7)+1</x:f>
        <x:v>41</x:v>
      </x:c>
      <x:c r="I321" s="73" t="n">
        <x:f>MIN(Control!$B$6,MAX(1,INT(MAX(0,G321)/Control!$B$7)+1))</x:f>
        <x:v>2</x:v>
      </x:c>
      <x:c r="J321" s="73" t="n">
        <x:f>INDEX(Drivers!$H$8:$H$13,B321)</x:f>
        <x:v>2</x:v>
      </x:c>
      <x:c r="K321" s="73" t="n">
        <x:f>IF(J321=1,INDEX(TrackMap!$I$8:$I$141,H321),INDEX(TrackMap!$L$8:$L$141,H321))</x:f>
        <x:v>917</x:v>
      </x:c>
      <x:c r="L321" s="73" t="str">
        <x:f>INDEX(TrackMap!$F$8:$F$141,H321)</x:f>
        <x:v>→</x:v>
      </x:c>
      <x:c r="M321" s="87" t="n">
        <x:f>MAX(0,G321/Control!$B$17)</x:f>
        <x:v>0.26225789245868375</x:v>
      </x:c>
      <x:c r="N321" s="73" t="n">
        <x:f>IF(N315&gt;0,N315,IF(G321&gt;=Control!$B$17,A321,0))</x:f>
        <x:v>0</x:v>
      </x:c>
      <x:c r="O321" s="91" t="n">
        <x:f>IF(N321&gt;0,Control!$B$17+Control!$B$8+1-N321,G321)-B321/100000</x:f>
        <x:v>175.7127679473181</x:v>
      </x:c>
      <x:c r="P321" s="73" t="n">
        <x:f>COUNTIF($O$320:$O$325,"&gt;"&amp;O321)+1</x:f>
        <x:v>5</x:v>
      </x:c>
      <x:c r="Q321" s="83" t="n">
        <x:f>MAX($G$320:$G$325)-G321</x:f>
        <x:v>4.130356018203685</x:v>
      </x:c>
      <x:c r="R321" s="73" t="str">
        <x:f>INDEX(TrackMap!$B$8:$B$141,H321)</x:f>
        <x:v>西侧发卡弯</x:v>
      </x:c>
    </x:row>
    <x:row r="322" ht="20" customHeight="1">
      <x:c r="A322" s="73" t="n">
        <x:v>52</x:v>
      </x:c>
      <x:c r="B322" s="73" t="n">
        <x:v>3</x:v>
      </x:c>
      <x:c r="C322" s="73" t="str">
        <x:f>INDEX(Drivers!$B$8:$B$13,B322)</x:f>
        <x:v>金翼</x:v>
      </x:c>
      <x:c r="D322" s="83" t="n">
        <x:f>G316</x:f>
        <x:v>177.33548520166758</x:v>
      </x:c>
      <x:c r="E322" s="83" t="str">
        <x:f>IF(A322=0,"GRID",IF(D322&gt;=Control!$B$17,"FINISHED",IF(AND(A322&gt;=INDEX(Drivers!$G$8:$G$13,B322),A322&lt;INDEX(Drivers!$G$8:$G$13,B322)+INDEX(Drivers!$J$8:$J$13,B322)),"PIT",IF(MOD(A322+INDEX(Drivers!$F$8:$F$13,B322),Control!$B$11)&lt;Control!$B$13,"BOOST","RACE"))))</x:f>
        <x:v>RACE</x:v>
      </x:c>
      <x:c r="F322" s="83" t="n">
        <x:f>IF(OR(E322="GRID",E322="FINISHED",E322="PIT"),0,MAX(Control!$B$15,(INDEX(Drivers!$D$8:$D$13,B322)+INDEX(Drivers!$E$8:$E$13,B322)*SIN((A322+INDEX(Drivers!$F$8:$F$13,B322)+Control!$B$16)*Control!$B$14))*INDEX(TrackMap!$M$8:$M$141,MOD(INT(D322)-1,Control!$B$7)+1)*IF(E322="BOOST",Control!$B$12,1)))</x:f>
        <x:v>2.5076587638541983</x:v>
      </x:c>
      <x:c r="G322" s="83" t="n">
        <x:f>IF(A322=0,D322,MIN(Control!$B$17,D322+F322))</x:f>
        <x:v>179.8431439655218</x:v>
      </x:c>
      <x:c r="H322" s="73" t="n">
        <x:f>MOD(INT(G322)-1,Control!$B$7)+1</x:f>
        <x:v>45</x:v>
      </x:c>
      <x:c r="I322" s="73" t="n">
        <x:f>MIN(Control!$B$6,MAX(1,INT(MAX(0,G322)/Control!$B$7)+1))</x:f>
        <x:v>2</x:v>
      </x:c>
      <x:c r="J322" s="73" t="n">
        <x:f>INDEX(Drivers!$H$8:$H$13,B322)</x:f>
        <x:v>1</x:v>
      </x:c>
      <x:c r="K322" s="73" t="n">
        <x:f>IF(J322=1,INDEX(TrackMap!$I$8:$I$141,H322),INDEX(TrackMap!$L$8:$L$141,H322))</x:f>
        <x:v>1219</x:v>
      </x:c>
      <x:c r="L322" s="73" t="str">
        <x:f>INDEX(TrackMap!$F$8:$F$141,H322)</x:f>
        <x:v>↓</x:v>
      </x:c>
      <x:c r="M322" s="87" t="n">
        <x:f>MAX(0,G322/Control!$B$17)</x:f>
        <x:v>0.2684226029336146</x:v>
      </x:c>
      <x:c r="N322" s="73" t="n">
        <x:f>IF(N316&gt;0,N316,IF(G322&gt;=Control!$B$17,A322,0))</x:f>
        <x:v>0</x:v>
      </x:c>
      <x:c r="O322" s="91" t="n">
        <x:f>IF(N322&gt;0,Control!$B$17+Control!$B$8+1-N322,G322)-B322/100000</x:f>
        <x:v>179.84311396552178</x:v>
      </x:c>
      <x:c r="P322" s="73" t="n">
        <x:f>COUNTIF($O$320:$O$325,"&gt;"&amp;O322)+1</x:f>
        <x:v>1</x:v>
      </x:c>
      <x:c r="Q322" s="83" t="n">
        <x:f>MAX($G$320:$G$325)-G322</x:f>
        <x:v>0</x:v>
      </x:c>
      <x:c r="R322" s="73" t="str">
        <x:f>INDEX(TrackMap!$B$8:$B$141,H322)</x:f>
        <x:v>中段下行弯</x:v>
      </x:c>
    </x:row>
    <x:row r="323" ht="20" customHeight="1">
      <x:c r="A323" s="73" t="n">
        <x:v>52</x:v>
      </x:c>
      <x:c r="B323" s="73" t="n">
        <x:v>4</x:v>
      </x:c>
      <x:c r="C323" s="73" t="str">
        <x:f>INDEX(Drivers!$B$8:$B$13,B323)</x:f>
        <x:v>紫影</x:v>
      </x:c>
      <x:c r="D323" s="83" t="n">
        <x:f>G317</x:f>
        <x:v>173.16780774774548</x:v>
      </x:c>
      <x:c r="E323" s="83" t="str">
        <x:f>IF(A323=0,"GRID",IF(D323&gt;=Control!$B$17,"FINISHED",IF(AND(A323&gt;=INDEX(Drivers!$G$8:$G$13,B323),A323&lt;INDEX(Drivers!$G$8:$G$13,B323)+INDEX(Drivers!$J$8:$J$13,B323)),"PIT",IF(MOD(A323+INDEX(Drivers!$F$8:$F$13,B323),Control!$B$11)&lt;Control!$B$13,"BOOST","RACE"))))</x:f>
        <x:v>RACE</x:v>
      </x:c>
      <x:c r="F323" s="83" t="n">
        <x:f>IF(OR(E323="GRID",E323="FINISHED",E323="PIT"),0,MAX(Control!$B$15,(INDEX(Drivers!$D$8:$D$13,B323)+INDEX(Drivers!$E$8:$E$13,B323)*SIN((A323+INDEX(Drivers!$F$8:$F$13,B323)+Control!$B$16)*Control!$B$14))*INDEX(TrackMap!$M$8:$M$141,MOD(INT(D323)-1,Control!$B$7)+1)*IF(E323="BOOST",Control!$B$12,1)))</x:f>
        <x:v>3.1242519564762548</x:v>
      </x:c>
      <x:c r="G323" s="83" t="n">
        <x:f>IF(A323=0,D323,MIN(Control!$B$17,D323+F323))</x:f>
        <x:v>176.29205970422174</x:v>
      </x:c>
      <x:c r="H323" s="73" t="n">
        <x:f>MOD(INT(G323)-1,Control!$B$7)+1</x:f>
        <x:v>42</x:v>
      </x:c>
      <x:c r="I323" s="73" t="n">
        <x:f>MIN(Control!$B$6,MAX(1,INT(MAX(0,G323)/Control!$B$7)+1))</x:f>
        <x:v>2</x:v>
      </x:c>
      <x:c r="J323" s="73" t="n">
        <x:f>INDEX(Drivers!$H$8:$H$13,B323)</x:f>
        <x:v>2</x:v>
      </x:c>
      <x:c r="K323" s="73" t="n">
        <x:f>IF(J323=1,INDEX(TrackMap!$I$8:$I$141,H323),INDEX(TrackMap!$L$8:$L$141,H323))</x:f>
        <x:v>918</x:v>
      </x:c>
      <x:c r="L323" s="73" t="str">
        <x:f>INDEX(TrackMap!$F$8:$F$141,H323)</x:f>
        <x:v>→</x:v>
      </x:c>
      <x:c r="M323" s="87" t="n">
        <x:f>MAX(0,G323/Control!$B$17)</x:f>
        <x:v>0.2631224771704802</x:v>
      </x:c>
      <x:c r="N323" s="73" t="n">
        <x:f>IF(N317&gt;0,N317,IF(G323&gt;=Control!$B$17,A323,0))</x:f>
        <x:v>0</x:v>
      </x:c>
      <x:c r="O323" s="91" t="n">
        <x:f>IF(N323&gt;0,Control!$B$17+Control!$B$8+1-N323,G323)-B323/100000</x:f>
        <x:v>176.29201970422173</x:v>
      </x:c>
      <x:c r="P323" s="73" t="n">
        <x:f>COUNTIF($O$320:$O$325,"&gt;"&amp;O323)+1</x:f>
        <x:v>3</x:v>
      </x:c>
      <x:c r="Q323" s="83" t="n">
        <x:f>MAX($G$320:$G$325)-G323</x:f>
        <x:v>3.5510842613000477</x:v>
      </x:c>
      <x:c r="R323" s="73" t="str">
        <x:f>INDEX(TrackMap!$B$8:$B$141,H323)</x:f>
        <x:v>西侧发卡弯</x:v>
      </x:c>
    </x:row>
    <x:row r="324" ht="20" customHeight="1">
      <x:c r="A324" s="73" t="n">
        <x:v>52</x:v>
      </x:c>
      <x:c r="B324" s="73" t="n">
        <x:v>5</x:v>
      </x:c>
      <x:c r="C324" s="73" t="str">
        <x:f>INDEX(Drivers!$B$8:$B$13,B324)</x:f>
        <x:v>青锋</x:v>
      </x:c>
      <x:c r="D324" s="83" t="n">
        <x:f>G318</x:f>
        <x:v>166.7019385294082</x:v>
      </x:c>
      <x:c r="E324" s="83" t="str">
        <x:f>IF(A324=0,"GRID",IF(D324&gt;=Control!$B$17,"FINISHED",IF(AND(A324&gt;=INDEX(Drivers!$G$8:$G$13,B324),A324&lt;INDEX(Drivers!$G$8:$G$13,B324)+INDEX(Drivers!$J$8:$J$13,B324)),"PIT",IF(MOD(A324+INDEX(Drivers!$F$8:$F$13,B324),Control!$B$11)&lt;Control!$B$13,"BOOST","RACE"))))</x:f>
        <x:v>RACE</x:v>
      </x:c>
      <x:c r="F324" s="83" t="n">
        <x:f>IF(OR(E324="GRID",E324="FINISHED",E324="PIT"),0,MAX(Control!$B$15,(INDEX(Drivers!$D$8:$D$13,B324)+INDEX(Drivers!$E$8:$E$13,B324)*SIN((A324+INDEX(Drivers!$F$8:$F$13,B324)+Control!$B$16)*Control!$B$14))*INDEX(TrackMap!$M$8:$M$141,MOD(INT(D324)-1,Control!$B$7)+1)*IF(E324="BOOST",Control!$B$12,1)))</x:f>
        <x:v>3.990965627491166</x:v>
      </x:c>
      <x:c r="G324" s="83" t="n">
        <x:f>IF(A324=0,D324,MIN(Control!$B$17,D324+F324))</x:f>
        <x:v>170.69290415689937</x:v>
      </x:c>
      <x:c r="H324" s="73" t="n">
        <x:f>MOD(INT(G324)-1,Control!$B$7)+1</x:f>
        <x:v>36</x:v>
      </x:c>
      <x:c r="I324" s="73" t="n">
        <x:f>MIN(Control!$B$6,MAX(1,INT(MAX(0,G324)/Control!$B$7)+1))</x:f>
        <x:v>2</x:v>
      </x:c>
      <x:c r="J324" s="73" t="n">
        <x:f>INDEX(Drivers!$H$8:$H$13,B324)</x:f>
        <x:v>1</x:v>
      </x:c>
      <x:c r="K324" s="73" t="n">
        <x:f>IF(J324=1,INDEX(TrackMap!$I$8:$I$141,H324),INDEX(TrackMap!$L$8:$L$141,H324))</x:f>
        <x:v>812</x:v>
      </x:c>
      <x:c r="L324" s="73" t="str">
        <x:f>INDEX(TrackMap!$F$8:$F$141,H324)</x:f>
        <x:v>→</x:v>
      </x:c>
      <x:c r="M324" s="87" t="n">
        <x:f>MAX(0,G324/Control!$B$17)</x:f>
        <x:v>0.2547655285923871</x:v>
      </x:c>
      <x:c r="N324" s="73" t="n">
        <x:f>IF(N318&gt;0,N318,IF(G324&gt;=Control!$B$17,A324,0))</x:f>
        <x:v>0</x:v>
      </x:c>
      <x:c r="O324" s="91" t="n">
        <x:f>IF(N324&gt;0,Control!$B$17+Control!$B$8+1-N324,G324)-B324/100000</x:f>
        <x:v>170.6928541568994</x:v>
      </x:c>
      <x:c r="P324" s="73" t="n">
        <x:f>COUNTIF($O$320:$O$325,"&gt;"&amp;O324)+1</x:f>
        <x:v>6</x:v>
      </x:c>
      <x:c r="Q324" s="83" t="n">
        <x:f>MAX($G$320:$G$325)-G324</x:f>
        <x:v>9.150239808622416</x:v>
      </x:c>
      <x:c r="R324" s="73" t="str">
        <x:f>INDEX(TrackMap!$B$8:$B$141,H324)</x:f>
        <x:v>西侧发卡弯</x:v>
      </x:c>
    </x:row>
    <x:row r="325" ht="20" customHeight="1">
      <x:c r="A325" s="73" t="n">
        <x:v>52</x:v>
      </x:c>
      <x:c r="B325" s="73" t="n">
        <x:v>6</x:v>
      </x:c>
      <x:c r="C325" s="73" t="str">
        <x:f>INDEX(Drivers!$B$8:$B$13,B325)</x:f>
        <x:v>玫速</x:v>
      </x:c>
      <x:c r="D325" s="83" t="n">
        <x:f>G319</x:f>
        <x:v>172.34609314699514</x:v>
      </x:c>
      <x:c r="E325" s="83" t="str">
        <x:f>IF(A325=0,"GRID",IF(D325&gt;=Control!$B$17,"FINISHED",IF(AND(A325&gt;=INDEX(Drivers!$G$8:$G$13,B325),A325&lt;INDEX(Drivers!$G$8:$G$13,B325)+INDEX(Drivers!$J$8:$J$13,B325)),"PIT",IF(MOD(A325+INDEX(Drivers!$F$8:$F$13,B325),Control!$B$11)&lt;Control!$B$13,"BOOST","RACE"))))</x:f>
        <x:v>BOOST</x:v>
      </x:c>
      <x:c r="F325" s="83" t="n">
        <x:f>IF(OR(E325="GRID",E325="FINISHED",E325="PIT"),0,MAX(Control!$B$15,(INDEX(Drivers!$D$8:$D$13,B325)+INDEX(Drivers!$E$8:$E$13,B325)*SIN((A325+INDEX(Drivers!$F$8:$F$13,B325)+Control!$B$16)*Control!$B$14))*INDEX(TrackMap!$M$8:$M$141,MOD(INT(D325)-1,Control!$B$7)+1)*IF(E325="BOOST",Control!$B$12,1)))</x:f>
        <x:v>3.7398359611341223</x:v>
      </x:c>
      <x:c r="G325" s="83" t="n">
        <x:f>IF(A325=0,D325,MIN(Control!$B$17,D325+F325))</x:f>
        <x:v>176.08592910812928</x:v>
      </x:c>
      <x:c r="H325" s="73" t="n">
        <x:f>MOD(INT(G325)-1,Control!$B$7)+1</x:f>
        <x:v>42</x:v>
      </x:c>
      <x:c r="I325" s="73" t="n">
        <x:f>MIN(Control!$B$6,MAX(1,INT(MAX(0,G325)/Control!$B$7)+1))</x:f>
        <x:v>2</x:v>
      </x:c>
      <x:c r="J325" s="73" t="n">
        <x:f>INDEX(Drivers!$H$8:$H$13,B325)</x:f>
        <x:v>2</x:v>
      </x:c>
      <x:c r="K325" s="73" t="n">
        <x:f>IF(J325=1,INDEX(TrackMap!$I$8:$I$141,H325),INDEX(TrackMap!$L$8:$L$141,H325))</x:f>
        <x:v>918</x:v>
      </x:c>
      <x:c r="L325" s="73" t="str">
        <x:f>INDEX(TrackMap!$F$8:$F$141,H325)</x:f>
        <x:v>→</x:v>
      </x:c>
      <x:c r="M325" s="87" t="n">
        <x:f>MAX(0,G325/Control!$B$17)</x:f>
        <x:v>0.2628148195643721</x:v>
      </x:c>
      <x:c r="N325" s="73" t="n">
        <x:f>IF(N319&gt;0,N319,IF(G325&gt;=Control!$B$17,A325,0))</x:f>
        <x:v>0</x:v>
      </x:c>
      <x:c r="O325" s="91" t="n">
        <x:f>IF(N325&gt;0,Control!$B$17+Control!$B$8+1-N325,G325)-B325/100000</x:f>
        <x:v>176.0858691081293</x:v>
      </x:c>
      <x:c r="P325" s="73" t="n">
        <x:f>COUNTIF($O$320:$O$325,"&gt;"&amp;O325)+1</x:f>
        <x:v>4</x:v>
      </x:c>
      <x:c r="Q325" s="83" t="n">
        <x:f>MAX($G$320:$G$325)-G325</x:f>
        <x:v>3.757214857392512</x:v>
      </x:c>
      <x:c r="R325" s="73" t="str">
        <x:f>INDEX(TrackMap!$B$8:$B$141,H325)</x:f>
        <x:v>西侧发卡弯</x:v>
      </x:c>
    </x:row>
    <x:row r="326" ht="20" customHeight="1">
      <x:c r="A326" s="73" t="n">
        <x:v>53</x:v>
      </x:c>
      <x:c r="B326" s="73" t="n">
        <x:v>1</x:v>
      </x:c>
      <x:c r="C326" s="73" t="str">
        <x:f>INDEX(Drivers!$B$8:$B$13,B326)</x:f>
        <x:v>赤焰</x:v>
      </x:c>
      <x:c r="D326" s="83" t="n">
        <x:f>G320</x:f>
        <x:v>177.39804796507912</x:v>
      </x:c>
      <x:c r="E326" s="83" t="str">
        <x:f>IF(A326=0,"GRID",IF(D326&gt;=Control!$B$17,"FINISHED",IF(AND(A326&gt;=INDEX(Drivers!$G$8:$G$13,B326),A326&lt;INDEX(Drivers!$G$8:$G$13,B326)+INDEX(Drivers!$J$8:$J$13,B326)),"PIT",IF(MOD(A326+INDEX(Drivers!$F$8:$F$13,B326),Control!$B$11)&lt;Control!$B$13,"BOOST","RACE"))))</x:f>
        <x:v>RACE</x:v>
      </x:c>
      <x:c r="F326" s="83" t="n">
        <x:f>IF(OR(E326="GRID",E326="FINISHED",E326="PIT"),0,MAX(Control!$B$15,(INDEX(Drivers!$D$8:$D$13,B326)+INDEX(Drivers!$E$8:$E$13,B326)*SIN((A326+INDEX(Drivers!$F$8:$F$13,B326)+Control!$B$16)*Control!$B$14))*INDEX(TrackMap!$M$8:$M$141,MOD(INT(D326)-1,Control!$B$7)+1)*IF(E326="BOOST",Control!$B$12,1)))</x:f>
        <x:v>2.702825909038371</x:v>
      </x:c>
      <x:c r="G326" s="83" t="n">
        <x:f>IF(A326=0,D326,MIN(Control!$B$17,D326+F326))</x:f>
        <x:v>180.1008738741175</x:v>
      </x:c>
      <x:c r="H326" s="73" t="n">
        <x:f>MOD(INT(G326)-1,Control!$B$7)+1</x:f>
        <x:v>46</x:v>
      </x:c>
      <x:c r="I326" s="73" t="n">
        <x:f>MIN(Control!$B$6,MAX(1,INT(MAX(0,G326)/Control!$B$7)+1))</x:f>
        <x:v>2</x:v>
      </x:c>
      <x:c r="J326" s="73" t="n">
        <x:f>INDEX(Drivers!$H$8:$H$13,B326)</x:f>
        <x:v>1</x:v>
      </x:c>
      <x:c r="K326" s="73" t="n">
        <x:f>IF(J326=1,INDEX(TrackMap!$I$8:$I$141,H326),INDEX(TrackMap!$L$8:$L$141,H326))</x:f>
        <x:v>1319</x:v>
      </x:c>
      <x:c r="L326" s="73" t="str">
        <x:f>INDEX(TrackMap!$F$8:$F$141,H326)</x:f>
        <x:v>↓</x:v>
      </x:c>
      <x:c r="M326" s="87" t="n">
        <x:f>MAX(0,G326/Control!$B$17)</x:f>
        <x:v>0.26880727443898134</x:v>
      </x:c>
      <x:c r="N326" s="73" t="n">
        <x:f>IF(N320&gt;0,N320,IF(G326&gt;=Control!$B$17,A326,0))</x:f>
        <x:v>0</x:v>
      </x:c>
      <x:c r="O326" s="91" t="n">
        <x:f>IF(N326&gt;0,Control!$B$17+Control!$B$8+1-N326,G326)-B326/100000</x:f>
        <x:v>180.1008638741175</x:v>
      </x:c>
      <x:c r="P326" s="73" t="n">
        <x:f>COUNTIF($O$326:$O$331,"&gt;"&amp;O326)+1</x:f>
        <x:v>2</x:v>
      </x:c>
      <x:c r="Q326" s="83" t="n">
        <x:f>MAX($G$326:$G$331)-G326</x:f>
        <x:v>2.2413066732889604</x:v>
      </x:c>
      <x:c r="R326" s="73" t="str">
        <x:f>INDEX(TrackMap!$B$8:$B$141,H326)</x:f>
        <x:v>中段下行弯</x:v>
      </x:c>
    </x:row>
    <x:row r="327" ht="20" customHeight="1">
      <x:c r="A327" s="73" t="n">
        <x:v>53</x:v>
      </x:c>
      <x:c r="B327" s="73" t="n">
        <x:v>2</x:v>
      </x:c>
      <x:c r="C327" s="73" t="str">
        <x:f>INDEX(Drivers!$B$8:$B$13,B327)</x:f>
        <x:v>蓝电</x:v>
      </x:c>
      <x:c r="D327" s="83" t="n">
        <x:f>G321</x:f>
        <x:v>175.7127879473181</x:v>
      </x:c>
      <x:c r="E327" s="83" t="str">
        <x:f>IF(A327=0,"GRID",IF(D327&gt;=Control!$B$17,"FINISHED",IF(AND(A327&gt;=INDEX(Drivers!$G$8:$G$13,B327),A327&lt;INDEX(Drivers!$G$8:$G$13,B327)+INDEX(Drivers!$J$8:$J$13,B327)),"PIT",IF(MOD(A327+INDEX(Drivers!$F$8:$F$13,B327),Control!$B$11)&lt;Control!$B$13,"BOOST","RACE"))))</x:f>
        <x:v>BOOST</x:v>
      </x:c>
      <x:c r="F327" s="83" t="n">
        <x:f>IF(OR(E327="GRID",E327="FINISHED",E327="PIT"),0,MAX(Control!$B$15,(INDEX(Drivers!$D$8:$D$13,B327)+INDEX(Drivers!$E$8:$E$13,B327)*SIN((A327+INDEX(Drivers!$F$8:$F$13,B327)+Control!$B$16)*Control!$B$14))*INDEX(TrackMap!$M$8:$M$141,MOD(INT(D327)-1,Control!$B$7)+1)*IF(E327="BOOST",Control!$B$12,1)))</x:f>
        <x:v>4.262412736572787</x:v>
      </x:c>
      <x:c r="G327" s="83" t="n">
        <x:f>IF(A327=0,D327,MIN(Control!$B$17,D327+F327))</x:f>
        <x:v>179.9752006838909</x:v>
      </x:c>
      <x:c r="H327" s="73" t="n">
        <x:f>MOD(INT(G327)-1,Control!$B$7)+1</x:f>
        <x:v>45</x:v>
      </x:c>
      <x:c r="I327" s="73" t="n">
        <x:f>MIN(Control!$B$6,MAX(1,INT(MAX(0,G327)/Control!$B$7)+1))</x:f>
        <x:v>2</x:v>
      </x:c>
      <x:c r="J327" s="73" t="n">
        <x:f>INDEX(Drivers!$H$8:$H$13,B327)</x:f>
        <x:v>2</x:v>
      </x:c>
      <x:c r="K327" s="73" t="n">
        <x:f>IF(J327=1,INDEX(TrackMap!$I$8:$I$141,H327),INDEX(TrackMap!$L$8:$L$141,H327))</x:f>
        <x:v>1220</x:v>
      </x:c>
      <x:c r="L327" s="73" t="str">
        <x:f>INDEX(TrackMap!$F$8:$F$141,H327)</x:f>
        <x:v>↓</x:v>
      </x:c>
      <x:c r="M327" s="87" t="n">
        <x:f>MAX(0,G327/Control!$B$17)</x:f>
        <x:v>0.26861970251327</x:v>
      </x:c>
      <x:c r="N327" s="73" t="n">
        <x:f>IF(N321&gt;0,N321,IF(G327&gt;=Control!$B$17,A327,0))</x:f>
        <x:v>0</x:v>
      </x:c>
      <x:c r="O327" s="91" t="n">
        <x:f>IF(N327&gt;0,Control!$B$17+Control!$B$8+1-N327,G327)-B327/100000</x:f>
        <x:v>179.9751806838909</x:v>
      </x:c>
      <x:c r="P327" s="73" t="n">
        <x:f>COUNTIF($O$326:$O$331,"&gt;"&amp;O327)+1</x:f>
        <x:v>3</x:v>
      </x:c>
      <x:c r="Q327" s="83" t="n">
        <x:f>MAX($G$326:$G$331)-G327</x:f>
        <x:v>2.366979863515553</x:v>
      </x:c>
      <x:c r="R327" s="73" t="str">
        <x:f>INDEX(TrackMap!$B$8:$B$141,H327)</x:f>
        <x:v>中段下行弯</x:v>
      </x:c>
    </x:row>
    <x:row r="328" ht="20" customHeight="1">
      <x:c r="A328" s="73" t="n">
        <x:v>53</x:v>
      </x:c>
      <x:c r="B328" s="73" t="n">
        <x:v>3</x:v>
      </x:c>
      <x:c r="C328" s="73" t="str">
        <x:f>INDEX(Drivers!$B$8:$B$13,B328)</x:f>
        <x:v>金翼</x:v>
      </x:c>
      <x:c r="D328" s="83" t="n">
        <x:f>G322</x:f>
        <x:v>179.8431439655218</x:v>
      </x:c>
      <x:c r="E328" s="83" t="str">
        <x:f>IF(A328=0,"GRID",IF(D328&gt;=Control!$B$17,"FINISHED",IF(AND(A328&gt;=INDEX(Drivers!$G$8:$G$13,B328),A328&lt;INDEX(Drivers!$G$8:$G$13,B328)+INDEX(Drivers!$J$8:$J$13,B328)),"PIT",IF(MOD(A328+INDEX(Drivers!$F$8:$F$13,B328),Control!$B$11)&lt;Control!$B$13,"BOOST","RACE"))))</x:f>
        <x:v>RACE</x:v>
      </x:c>
      <x:c r="F328" s="83" t="n">
        <x:f>IF(OR(E328="GRID",E328="FINISHED",E328="PIT"),0,MAX(Control!$B$15,(INDEX(Drivers!$D$8:$D$13,B328)+INDEX(Drivers!$E$8:$E$13,B328)*SIN((A328+INDEX(Drivers!$F$8:$F$13,B328)+Control!$B$16)*Control!$B$14))*INDEX(TrackMap!$M$8:$M$141,MOD(INT(D328)-1,Control!$B$7)+1)*IF(E328="BOOST",Control!$B$12,1)))</x:f>
        <x:v>2.4990365818846643</x:v>
      </x:c>
      <x:c r="G328" s="83" t="n">
        <x:f>IF(A328=0,D328,MIN(Control!$B$17,D328+F328))</x:f>
        <x:v>182.34218054740646</x:v>
      </x:c>
      <x:c r="H328" s="73" t="n">
        <x:f>MOD(INT(G328)-1,Control!$B$7)+1</x:f>
        <x:v>48</x:v>
      </x:c>
      <x:c r="I328" s="73" t="n">
        <x:f>MIN(Control!$B$6,MAX(1,INT(MAX(0,G328)/Control!$B$7)+1))</x:f>
        <x:v>2</x:v>
      </x:c>
      <x:c r="J328" s="73" t="n">
        <x:f>INDEX(Drivers!$H$8:$H$13,B328)</x:f>
        <x:v>1</x:v>
      </x:c>
      <x:c r="K328" s="73" t="n">
        <x:f>IF(J328=1,INDEX(TrackMap!$I$8:$I$141,H328),INDEX(TrackMap!$L$8:$L$141,H328))</x:f>
        <x:v>1621</x:v>
      </x:c>
      <x:c r="L328" s="73" t="str">
        <x:f>INDEX(TrackMap!$F$8:$F$141,H328)</x:f>
        <x:v>→</x:v>
      </x:c>
      <x:c r="M328" s="87" t="n">
        <x:f>MAX(0,G328/Control!$B$17)</x:f>
        <x:v>0.2721525082797111</x:v>
      </x:c>
      <x:c r="N328" s="73" t="n">
        <x:f>IF(N322&gt;0,N322,IF(G328&gt;=Control!$B$17,A328,0))</x:f>
        <x:v>0</x:v>
      </x:c>
      <x:c r="O328" s="91" t="n">
        <x:f>IF(N328&gt;0,Control!$B$17+Control!$B$8+1-N328,G328)-B328/100000</x:f>
        <x:v>182.34215054740645</x:v>
      </x:c>
      <x:c r="P328" s="73" t="n">
        <x:f>COUNTIF($O$326:$O$331,"&gt;"&amp;O328)+1</x:f>
        <x:v>1</x:v>
      </x:c>
      <x:c r="Q328" s="83" t="n">
        <x:f>MAX($G$326:$G$331)-G328</x:f>
        <x:v>0</x:v>
      </x:c>
      <x:c r="R328" s="73" t="str">
        <x:f>INDEX(TrackMap!$B$8:$B$141,H328)</x:f>
        <x:v>中央高速直道</x:v>
      </x:c>
    </x:row>
    <x:row r="329" ht="20" customHeight="1">
      <x:c r="A329" s="73" t="n">
        <x:v>53</x:v>
      </x:c>
      <x:c r="B329" s="73" t="n">
        <x:v>4</x:v>
      </x:c>
      <x:c r="C329" s="73" t="str">
        <x:f>INDEX(Drivers!$B$8:$B$13,B329)</x:f>
        <x:v>紫影</x:v>
      </x:c>
      <x:c r="D329" s="83" t="n">
        <x:f>G323</x:f>
        <x:v>176.29205970422174</x:v>
      </x:c>
      <x:c r="E329" s="83" t="str">
        <x:f>IF(A329=0,"GRID",IF(D329&gt;=Control!$B$17,"FINISHED",IF(AND(A329&gt;=INDEX(Drivers!$G$8:$G$13,B329),A329&lt;INDEX(Drivers!$G$8:$G$13,B329)+INDEX(Drivers!$J$8:$J$13,B329)),"PIT",IF(MOD(A329+INDEX(Drivers!$F$8:$F$13,B329),Control!$B$11)&lt;Control!$B$13,"BOOST","RACE"))))</x:f>
        <x:v>RACE</x:v>
      </x:c>
      <x:c r="F329" s="83" t="n">
        <x:f>IF(OR(E329="GRID",E329="FINISHED",E329="PIT"),0,MAX(Control!$B$15,(INDEX(Drivers!$D$8:$D$13,B329)+INDEX(Drivers!$E$8:$E$13,B329)*SIN((A329+INDEX(Drivers!$F$8:$F$13,B329)+Control!$B$16)*Control!$B$14))*INDEX(TrackMap!$M$8:$M$141,MOD(INT(D329)-1,Control!$B$7)+1)*IF(E329="BOOST",Control!$B$12,1)))</x:f>
        <x:v>3.219831938923819</x:v>
      </x:c>
      <x:c r="G329" s="83" t="n">
        <x:f>IF(A329=0,D329,MIN(Control!$B$17,D329+F329))</x:f>
        <x:v>179.51189164314556</x:v>
      </x:c>
      <x:c r="H329" s="73" t="n">
        <x:f>MOD(INT(G329)-1,Control!$B$7)+1</x:f>
        <x:v>45</x:v>
      </x:c>
      <x:c r="I329" s="73" t="n">
        <x:f>MIN(Control!$B$6,MAX(1,INT(MAX(0,G329)/Control!$B$7)+1))</x:f>
        <x:v>2</x:v>
      </x:c>
      <x:c r="J329" s="73" t="n">
        <x:f>INDEX(Drivers!$H$8:$H$13,B329)</x:f>
        <x:v>2</x:v>
      </x:c>
      <x:c r="K329" s="73" t="n">
        <x:f>IF(J329=1,INDEX(TrackMap!$I$8:$I$141,H329),INDEX(TrackMap!$L$8:$L$141,H329))</x:f>
        <x:v>1220</x:v>
      </x:c>
      <x:c r="L329" s="73" t="str">
        <x:f>INDEX(TrackMap!$F$8:$F$141,H329)</x:f>
        <x:v>↓</x:v>
      </x:c>
      <x:c r="M329" s="87" t="n">
        <x:f>MAX(0,G329/Control!$B$17)</x:f>
        <x:v>0.2679281964823068</x:v>
      </x:c>
      <x:c r="N329" s="73" t="n">
        <x:f>IF(N323&gt;0,N323,IF(G329&gt;=Control!$B$17,A329,0))</x:f>
        <x:v>0</x:v>
      </x:c>
      <x:c r="O329" s="91" t="n">
        <x:f>IF(N329&gt;0,Control!$B$17+Control!$B$8+1-N329,G329)-B329/100000</x:f>
        <x:v>179.51185164314555</x:v>
      </x:c>
      <x:c r="P329" s="73" t="n">
        <x:f>COUNTIF($O$326:$O$331,"&gt;"&amp;O329)+1</x:f>
        <x:v>4</x:v>
      </x:c>
      <x:c r="Q329" s="83" t="n">
        <x:f>MAX($G$326:$G$331)-G329</x:f>
        <x:v>2.8302889042608967</x:v>
      </x:c>
      <x:c r="R329" s="73" t="str">
        <x:f>INDEX(TrackMap!$B$8:$B$141,H329)</x:f>
        <x:v>中段下行弯</x:v>
      </x:c>
    </x:row>
    <x:row r="330" ht="20" customHeight="1">
      <x:c r="A330" s="73" t="n">
        <x:v>53</x:v>
      </x:c>
      <x:c r="B330" s="73" t="n">
        <x:v>5</x:v>
      </x:c>
      <x:c r="C330" s="73" t="str">
        <x:f>INDEX(Drivers!$B$8:$B$13,B330)</x:f>
        <x:v>青锋</x:v>
      </x:c>
      <x:c r="D330" s="83" t="n">
        <x:f>G324</x:f>
        <x:v>170.69290415689937</x:v>
      </x:c>
      <x:c r="E330" s="83" t="str">
        <x:f>IF(A330=0,"GRID",IF(D330&gt;=Control!$B$17,"FINISHED",IF(AND(A330&gt;=INDEX(Drivers!$G$8:$G$13,B330),A330&lt;INDEX(Drivers!$G$8:$G$13,B330)+INDEX(Drivers!$J$8:$J$13,B330)),"PIT",IF(MOD(A330+INDEX(Drivers!$F$8:$F$13,B330),Control!$B$11)&lt;Control!$B$13,"BOOST","RACE"))))</x:f>
        <x:v>RACE</x:v>
      </x:c>
      <x:c r="F330" s="83" t="n">
        <x:f>IF(OR(E330="GRID",E330="FINISHED",E330="PIT"),0,MAX(Control!$B$15,(INDEX(Drivers!$D$8:$D$13,B330)+INDEX(Drivers!$E$8:$E$13,B330)*SIN((A330+INDEX(Drivers!$F$8:$F$13,B330)+Control!$B$16)*Control!$B$14))*INDEX(TrackMap!$M$8:$M$141,MOD(INT(D330)-1,Control!$B$7)+1)*IF(E330="BOOST",Control!$B$12,1)))</x:f>
        <x:v>3.199476062671691</x:v>
      </x:c>
      <x:c r="G330" s="83" t="n">
        <x:f>IF(A330=0,D330,MIN(Control!$B$17,D330+F330))</x:f>
        <x:v>173.89238021957107</x:v>
      </x:c>
      <x:c r="H330" s="73" t="n">
        <x:f>MOD(INT(G330)-1,Control!$B$7)+1</x:f>
        <x:v>39</x:v>
      </x:c>
      <x:c r="I330" s="73" t="n">
        <x:f>MIN(Control!$B$6,MAX(1,INT(MAX(0,G330)/Control!$B$7)+1))</x:f>
        <x:v>2</x:v>
      </x:c>
      <x:c r="J330" s="73" t="n">
        <x:f>INDEX(Drivers!$H$8:$H$13,B330)</x:f>
        <x:v>1</x:v>
      </x:c>
      <x:c r="K330" s="73" t="n">
        <x:f>IF(J330=1,INDEX(TrackMap!$I$8:$I$141,H330),INDEX(TrackMap!$L$8:$L$141,H330))</x:f>
        <x:v>815</x:v>
      </x:c>
      <x:c r="L330" s="73" t="str">
        <x:f>INDEX(TrackMap!$F$8:$F$141,H330)</x:f>
        <x:v>→</x:v>
      </x:c>
      <x:c r="M330" s="87" t="n">
        <x:f>MAX(0,G330/Control!$B$17)</x:f>
        <x:v>0.2595408659993598</x:v>
      </x:c>
      <x:c r="N330" s="73" t="n">
        <x:f>IF(N324&gt;0,N324,IF(G330&gt;=Control!$B$17,A330,0))</x:f>
        <x:v>0</x:v>
      </x:c>
      <x:c r="O330" s="91" t="n">
        <x:f>IF(N330&gt;0,Control!$B$17+Control!$B$8+1-N330,G330)-B330/100000</x:f>
        <x:v>173.89233021957108</x:v>
      </x:c>
      <x:c r="P330" s="73" t="n">
        <x:f>COUNTIF($O$326:$O$331,"&gt;"&amp;O330)+1</x:f>
        <x:v>6</x:v>
      </x:c>
      <x:c r="Q330" s="83" t="n">
        <x:f>MAX($G$326:$G$331)-G330</x:f>
        <x:v>8.44980032783539</x:v>
      </x:c>
      <x:c r="R330" s="73" t="str">
        <x:f>INDEX(TrackMap!$B$8:$B$141,H330)</x:f>
        <x:v>西侧发卡弯</x:v>
      </x:c>
    </x:row>
    <x:row r="331" ht="20" customHeight="1">
      <x:c r="A331" s="73" t="n">
        <x:v>53</x:v>
      </x:c>
      <x:c r="B331" s="73" t="n">
        <x:v>6</x:v>
      </x:c>
      <x:c r="C331" s="73" t="str">
        <x:f>INDEX(Drivers!$B$8:$B$13,B331)</x:f>
        <x:v>玫速</x:v>
      </x:c>
      <x:c r="D331" s="83" t="n">
        <x:f>G325</x:f>
        <x:v>176.08592910812928</x:v>
      </x:c>
      <x:c r="E331" s="83" t="str">
        <x:f>IF(A331=0,"GRID",IF(D331&gt;=Control!$B$17,"FINISHED",IF(AND(A331&gt;=INDEX(Drivers!$G$8:$G$13,B331),A331&lt;INDEX(Drivers!$G$8:$G$13,B331)+INDEX(Drivers!$J$8:$J$13,B331)),"PIT",IF(MOD(A331+INDEX(Drivers!$F$8:$F$13,B331),Control!$B$11)&lt;Control!$B$13,"BOOST","RACE"))))</x:f>
        <x:v>RACE</x:v>
      </x:c>
      <x:c r="F331" s="83" t="n">
        <x:f>IF(OR(E331="GRID",E331="FINISHED",E331="PIT"),0,MAX(Control!$B$15,(INDEX(Drivers!$D$8:$D$13,B331)+INDEX(Drivers!$E$8:$E$13,B331)*SIN((A331+INDEX(Drivers!$F$8:$F$13,B331)+Control!$B$16)*Control!$B$14))*INDEX(TrackMap!$M$8:$M$141,MOD(INT(D331)-1,Control!$B$7)+1)*IF(E331="BOOST",Control!$B$12,1)))</x:f>
        <x:v>2.6117108424495528</x:v>
      </x:c>
      <x:c r="G331" s="83" t="n">
        <x:f>IF(A331=0,D331,MIN(Control!$B$17,D331+F331))</x:f>
        <x:v>178.69763995057883</x:v>
      </x:c>
      <x:c r="H331" s="73" t="n">
        <x:f>MOD(INT(G331)-1,Control!$B$7)+1</x:f>
        <x:v>44</x:v>
      </x:c>
      <x:c r="I331" s="73" t="n">
        <x:f>MIN(Control!$B$6,MAX(1,INT(MAX(0,G331)/Control!$B$7)+1))</x:f>
        <x:v>2</x:v>
      </x:c>
      <x:c r="J331" s="73" t="n">
        <x:f>INDEX(Drivers!$H$8:$H$13,B331)</x:f>
        <x:v>2</x:v>
      </x:c>
      <x:c r="K331" s="73" t="n">
        <x:f>IF(J331=1,INDEX(TrackMap!$I$8:$I$141,H331),INDEX(TrackMap!$L$8:$L$141,H331))</x:f>
        <x:v>1120</x:v>
      </x:c>
      <x:c r="L331" s="73" t="str">
        <x:f>INDEX(TrackMap!$F$8:$F$141,H331)</x:f>
        <x:v>↓</x:v>
      </x:c>
      <x:c r="M331" s="87" t="n">
        <x:f>MAX(0,G331/Control!$B$17)</x:f>
        <x:v>0.26671289544862514</x:v>
      </x:c>
      <x:c r="N331" s="73" t="n">
        <x:f>IF(N325&gt;0,N325,IF(G331&gt;=Control!$B$17,A331,0))</x:f>
        <x:v>0</x:v>
      </x:c>
      <x:c r="O331" s="91" t="n">
        <x:f>IF(N331&gt;0,Control!$B$17+Control!$B$8+1-N331,G331)-B331/100000</x:f>
        <x:v>178.69757995057884</x:v>
      </x:c>
      <x:c r="P331" s="73" t="n">
        <x:f>COUNTIF($O$326:$O$331,"&gt;"&amp;O331)+1</x:f>
        <x:v>5</x:v>
      </x:c>
      <x:c r="Q331" s="83" t="n">
        <x:f>MAX($G$326:$G$331)-G331</x:f>
        <x:v>3.6445405968276248</x:v>
      </x:c>
      <x:c r="R331" s="73" t="str">
        <x:f>INDEX(TrackMap!$B$8:$B$141,H331)</x:f>
        <x:v>中段下行弯</x:v>
      </x:c>
    </x:row>
    <x:row r="332" ht="20" customHeight="1">
      <x:c r="A332" s="73" t="n">
        <x:v>54</x:v>
      </x:c>
      <x:c r="B332" s="73" t="n">
        <x:v>1</x:v>
      </x:c>
      <x:c r="C332" s="73" t="str">
        <x:f>INDEX(Drivers!$B$8:$B$13,B332)</x:f>
        <x:v>赤焰</x:v>
      </x:c>
      <x:c r="D332" s="83" t="n">
        <x:f>G326</x:f>
        <x:v>180.1008738741175</x:v>
      </x:c>
      <x:c r="E332" s="83" t="str">
        <x:f>IF(A332=0,"GRID",IF(D332&gt;=Control!$B$17,"FINISHED",IF(AND(A332&gt;=INDEX(Drivers!$G$8:$G$13,B332),A332&lt;INDEX(Drivers!$G$8:$G$13,B332)+INDEX(Drivers!$J$8:$J$13,B332)),"PIT",IF(MOD(A332+INDEX(Drivers!$F$8:$F$13,B332),Control!$B$11)&lt;Control!$B$13,"BOOST","RACE"))))</x:f>
        <x:v>RACE</x:v>
      </x:c>
      <x:c r="F332" s="83" t="n">
        <x:f>IF(OR(E332="GRID",E332="FINISHED",E332="PIT"),0,MAX(Control!$B$15,(INDEX(Drivers!$D$8:$D$13,B332)+INDEX(Drivers!$E$8:$E$13,B332)*SIN((A332+INDEX(Drivers!$F$8:$F$13,B332)+Control!$B$16)*Control!$B$14))*INDEX(TrackMap!$M$8:$M$141,MOD(INT(D332)-1,Control!$B$7)+1)*IF(E332="BOOST",Control!$B$12,1)))</x:f>
        <x:v>3.664990467622929</x:v>
      </x:c>
      <x:c r="G332" s="83" t="n">
        <x:f>IF(A332=0,D332,MIN(Control!$B$17,D332+F332))</x:f>
        <x:v>183.76586434174044</x:v>
      </x:c>
      <x:c r="H332" s="73" t="n">
        <x:f>MOD(INT(G332)-1,Control!$B$7)+1</x:f>
        <x:v>49</x:v>
      </x:c>
      <x:c r="I332" s="73" t="n">
        <x:f>MIN(Control!$B$6,MAX(1,INT(MAX(0,G332)/Control!$B$7)+1))</x:f>
        <x:v>2</x:v>
      </x:c>
      <x:c r="J332" s="73" t="n">
        <x:f>INDEX(Drivers!$H$8:$H$13,B332)</x:f>
        <x:v>1</x:v>
      </x:c>
      <x:c r="K332" s="73" t="n">
        <x:f>IF(J332=1,INDEX(TrackMap!$I$8:$I$141,H332),INDEX(TrackMap!$L$8:$L$141,H332))</x:f>
        <x:v>1622</x:v>
      </x:c>
      <x:c r="L332" s="73" t="str">
        <x:f>INDEX(TrackMap!$F$8:$F$141,H332)</x:f>
        <x:v>→</x:v>
      </x:c>
      <x:c r="M332" s="87" t="n">
        <x:f>MAX(0,G332/Control!$B$17)</x:f>
        <x:v>0.2742774094652842</x:v>
      </x:c>
      <x:c r="N332" s="73" t="n">
        <x:f>IF(N326&gt;0,N326,IF(G332&gt;=Control!$B$17,A332,0))</x:f>
        <x:v>0</x:v>
      </x:c>
      <x:c r="O332" s="91" t="n">
        <x:f>IF(N332&gt;0,Control!$B$17+Control!$B$8+1-N332,G332)-B332/100000</x:f>
        <x:v>183.76585434174044</x:v>
      </x:c>
      <x:c r="P332" s="73" t="n">
        <x:f>COUNTIF($O$332:$O$337,"&gt;"&amp;O332)+1</x:f>
        <x:v>3</x:v>
      </x:c>
      <x:c r="Q332" s="83" t="n">
        <x:f>MAX($G$332:$G$337)-G332</x:f>
        <x:v>1.836300927755218</x:v>
      </x:c>
      <x:c r="R332" s="73" t="str">
        <x:f>INDEX(TrackMap!$B$8:$B$141,H332)</x:f>
        <x:v>中央高速直道</x:v>
      </x:c>
    </x:row>
    <x:row r="333" ht="20" customHeight="1">
      <x:c r="A333" s="73" t="n">
        <x:v>54</x:v>
      </x:c>
      <x:c r="B333" s="73" t="n">
        <x:v>2</x:v>
      </x:c>
      <x:c r="C333" s="73" t="str">
        <x:f>INDEX(Drivers!$B$8:$B$13,B333)</x:f>
        <x:v>蓝电</x:v>
      </x:c>
      <x:c r="D333" s="83" t="n">
        <x:f>G327</x:f>
        <x:v>179.9752006838909</x:v>
      </x:c>
      <x:c r="E333" s="83" t="str">
        <x:f>IF(A333=0,"GRID",IF(D333&gt;=Control!$B$17,"FINISHED",IF(AND(A333&gt;=INDEX(Drivers!$G$8:$G$13,B333),A333&lt;INDEX(Drivers!$G$8:$G$13,B333)+INDEX(Drivers!$J$8:$J$13,B333)),"PIT",IF(MOD(A333+INDEX(Drivers!$F$8:$F$13,B333),Control!$B$11)&lt;Control!$B$13,"BOOST","RACE"))))</x:f>
        <x:v>BOOST</x:v>
      </x:c>
      <x:c r="F333" s="83" t="n">
        <x:f>IF(OR(E333="GRID",E333="FINISHED",E333="PIT"),0,MAX(Control!$B$15,(INDEX(Drivers!$D$8:$D$13,B333)+INDEX(Drivers!$E$8:$E$13,B333)*SIN((A333+INDEX(Drivers!$F$8:$F$13,B333)+Control!$B$16)*Control!$B$14))*INDEX(TrackMap!$M$8:$M$141,MOD(INT(D333)-1,Control!$B$7)+1)*IF(E333="BOOST",Control!$B$12,1)))</x:f>
        <x:v>4.086042131812101</x:v>
      </x:c>
      <x:c r="G333" s="83" t="n">
        <x:f>IF(A333=0,D333,MIN(Control!$B$17,D333+F333))</x:f>
        <x:v>184.061242815703</x:v>
      </x:c>
      <x:c r="H333" s="73" t="n">
        <x:f>MOD(INT(G333)-1,Control!$B$7)+1</x:f>
        <x:v>50</x:v>
      </x:c>
      <x:c r="I333" s="73" t="n">
        <x:f>MIN(Control!$B$6,MAX(1,INT(MAX(0,G333)/Control!$B$7)+1))</x:f>
        <x:v>2</x:v>
      </x:c>
      <x:c r="J333" s="73" t="n">
        <x:f>INDEX(Drivers!$H$8:$H$13,B333)</x:f>
        <x:v>2</x:v>
      </x:c>
      <x:c r="K333" s="73" t="n">
        <x:f>IF(J333=1,INDEX(TrackMap!$I$8:$I$141,H333),INDEX(TrackMap!$L$8:$L$141,H333))</x:f>
        <x:v>1523</x:v>
      </x:c>
      <x:c r="L333" s="73" t="str">
        <x:f>INDEX(TrackMap!$F$8:$F$141,H333)</x:f>
        <x:v>→</x:v>
      </x:c>
      <x:c r="M333" s="87" t="n">
        <x:f>MAX(0,G333/Control!$B$17)</x:f>
        <x:v>0.2747182728592582</x:v>
      </x:c>
      <x:c r="N333" s="73" t="n">
        <x:f>IF(N327&gt;0,N327,IF(G333&gt;=Control!$B$17,A333,0))</x:f>
        <x:v>0</x:v>
      </x:c>
      <x:c r="O333" s="91" t="n">
        <x:f>IF(N333&gt;0,Control!$B$17+Control!$B$8+1-N333,G333)-B333/100000</x:f>
        <x:v>184.061222815703</x:v>
      </x:c>
      <x:c r="P333" s="73" t="n">
        <x:f>COUNTIF($O$332:$O$337,"&gt;"&amp;O333)+1</x:f>
        <x:v>2</x:v>
      </x:c>
      <x:c r="Q333" s="83" t="n">
        <x:f>MAX($G$332:$G$337)-G333</x:f>
        <x:v>1.5409224537926605</x:v>
      </x:c>
      <x:c r="R333" s="73" t="str">
        <x:f>INDEX(TrackMap!$B$8:$B$141,H333)</x:f>
        <x:v>中央高速直道</x:v>
      </x:c>
    </x:row>
    <x:row r="334" ht="20" customHeight="1">
      <x:c r="A334" s="73" t="n">
        <x:v>54</x:v>
      </x:c>
      <x:c r="B334" s="73" t="n">
        <x:v>3</x:v>
      </x:c>
      <x:c r="C334" s="73" t="str">
        <x:f>INDEX(Drivers!$B$8:$B$13,B334)</x:f>
        <x:v>金翼</x:v>
      </x:c>
      <x:c r="D334" s="83" t="n">
        <x:f>G328</x:f>
        <x:v>182.34218054740646</x:v>
      </x:c>
      <x:c r="E334" s="83" t="str">
        <x:f>IF(A334=0,"GRID",IF(D334&gt;=Control!$B$17,"FINISHED",IF(AND(A334&gt;=INDEX(Drivers!$G$8:$G$13,B334),A334&lt;INDEX(Drivers!$G$8:$G$13,B334)+INDEX(Drivers!$J$8:$J$13,B334)),"PIT",IF(MOD(A334+INDEX(Drivers!$F$8:$F$13,B334),Control!$B$11)&lt;Control!$B$13,"BOOST","RACE"))))</x:f>
        <x:v>RACE</x:v>
      </x:c>
      <x:c r="F334" s="83" t="n">
        <x:f>IF(OR(E334="GRID",E334="FINISHED",E334="PIT"),0,MAX(Control!$B$15,(INDEX(Drivers!$D$8:$D$13,B334)+INDEX(Drivers!$E$8:$E$13,B334)*SIN((A334+INDEX(Drivers!$F$8:$F$13,B334)+Control!$B$16)*Control!$B$14))*INDEX(TrackMap!$M$8:$M$141,MOD(INT(D334)-1,Control!$B$7)+1)*IF(E334="BOOST",Control!$B$12,1)))</x:f>
        <x:v>3.2599847220892104</x:v>
      </x:c>
      <x:c r="G334" s="83" t="n">
        <x:f>IF(A334=0,D334,MIN(Control!$B$17,D334+F334))</x:f>
        <x:v>185.60216526949566</x:v>
      </x:c>
      <x:c r="H334" s="73" t="n">
        <x:f>MOD(INT(G334)-1,Control!$B$7)+1</x:f>
        <x:v>51</x:v>
      </x:c>
      <x:c r="I334" s="73" t="n">
        <x:f>MIN(Control!$B$6,MAX(1,INT(MAX(0,G334)/Control!$B$7)+1))</x:f>
        <x:v>2</x:v>
      </x:c>
      <x:c r="J334" s="73" t="n">
        <x:f>INDEX(Drivers!$H$8:$H$13,B334)</x:f>
        <x:v>1</x:v>
      </x:c>
      <x:c r="K334" s="73" t="n">
        <x:f>IF(J334=1,INDEX(TrackMap!$I$8:$I$141,H334),INDEX(TrackMap!$L$8:$L$141,H334))</x:f>
        <x:v>1624</x:v>
      </x:c>
      <x:c r="L334" s="73" t="str">
        <x:f>INDEX(TrackMap!$F$8:$F$141,H334)</x:f>
        <x:v>→</x:v>
      </x:c>
      <x:c r="M334" s="87" t="n">
        <x:f>MAX(0,G334/Control!$B$17)</x:f>
        <x:v>0.27701815711865024</x:v>
      </x:c>
      <x:c r="N334" s="73" t="n">
        <x:f>IF(N328&gt;0,N328,IF(G334&gt;=Control!$B$17,A334,0))</x:f>
        <x:v>0</x:v>
      </x:c>
      <x:c r="O334" s="91" t="n">
        <x:f>IF(N334&gt;0,Control!$B$17+Control!$B$8+1-N334,G334)-B334/100000</x:f>
        <x:v>185.60213526949565</x:v>
      </x:c>
      <x:c r="P334" s="73" t="n">
        <x:f>COUNTIF($O$332:$O$337,"&gt;"&amp;O334)+1</x:f>
        <x:v>1</x:v>
      </x:c>
      <x:c r="Q334" s="83" t="n">
        <x:f>MAX($G$332:$G$337)-G334</x:f>
        <x:v>0</x:v>
      </x:c>
      <x:c r="R334" s="73" t="str">
        <x:f>INDEX(TrackMap!$B$8:$B$141,H334)</x:f>
        <x:v>中央高速直道</x:v>
      </x:c>
    </x:row>
    <x:row r="335" ht="20" customHeight="1">
      <x:c r="A335" s="73" t="n">
        <x:v>54</x:v>
      </x:c>
      <x:c r="B335" s="73" t="n">
        <x:v>4</x:v>
      </x:c>
      <x:c r="C335" s="73" t="str">
        <x:f>INDEX(Drivers!$B$8:$B$13,B335)</x:f>
        <x:v>紫影</x:v>
      </x:c>
      <x:c r="D335" s="83" t="n">
        <x:f>G329</x:f>
        <x:v>179.51189164314556</x:v>
      </x:c>
      <x:c r="E335" s="83" t="str">
        <x:f>IF(A335=0,"GRID",IF(D335&gt;=Control!$B$17,"FINISHED",IF(AND(A335&gt;=INDEX(Drivers!$G$8:$G$13,B335),A335&lt;INDEX(Drivers!$G$8:$G$13,B335)+INDEX(Drivers!$J$8:$J$13,B335)),"PIT",IF(MOD(A335+INDEX(Drivers!$F$8:$F$13,B335),Control!$B$11)&lt;Control!$B$13,"BOOST","RACE"))))</x:f>
        <x:v>RACE</x:v>
      </x:c>
      <x:c r="F335" s="83" t="n">
        <x:f>IF(OR(E335="GRID",E335="FINISHED",E335="PIT"),0,MAX(Control!$B$15,(INDEX(Drivers!$D$8:$D$13,B335)+INDEX(Drivers!$E$8:$E$13,B335)*SIN((A335+INDEX(Drivers!$F$8:$F$13,B335)+Control!$B$16)*Control!$B$14))*INDEX(TrackMap!$M$8:$M$141,MOD(INT(D335)-1,Control!$B$7)+1)*IF(E335="BOOST",Control!$B$12,1)))</x:f>
        <x:v>3.259672400429004</x:v>
      </x:c>
      <x:c r="G335" s="83" t="n">
        <x:f>IF(A335=0,D335,MIN(Control!$B$17,D335+F335))</x:f>
        <x:v>182.77156404357456</x:v>
      </x:c>
      <x:c r="H335" s="73" t="n">
        <x:f>MOD(INT(G335)-1,Control!$B$7)+1</x:f>
        <x:v>48</x:v>
      </x:c>
      <x:c r="I335" s="73" t="n">
        <x:f>MIN(Control!$B$6,MAX(1,INT(MAX(0,G335)/Control!$B$7)+1))</x:f>
        <x:v>2</x:v>
      </x:c>
      <x:c r="J335" s="73" t="n">
        <x:f>INDEX(Drivers!$H$8:$H$13,B335)</x:f>
        <x:v>2</x:v>
      </x:c>
      <x:c r="K335" s="73" t="n">
        <x:f>IF(J335=1,INDEX(TrackMap!$I$8:$I$141,H335),INDEX(TrackMap!$L$8:$L$141,H335))</x:f>
        <x:v>1521</x:v>
      </x:c>
      <x:c r="L335" s="73" t="str">
        <x:f>INDEX(TrackMap!$F$8:$F$141,H335)</x:f>
        <x:v>→</x:v>
      </x:c>
      <x:c r="M335" s="87" t="n">
        <x:f>MAX(0,G335/Control!$B$17)</x:f>
        <x:v>0.27279337916951424</x:v>
      </x:c>
      <x:c r="N335" s="73" t="n">
        <x:f>IF(N329&gt;0,N329,IF(G335&gt;=Control!$B$17,A335,0))</x:f>
        <x:v>0</x:v>
      </x:c>
      <x:c r="O335" s="91" t="n">
        <x:f>IF(N335&gt;0,Control!$B$17+Control!$B$8+1-N335,G335)-B335/100000</x:f>
        <x:v>182.77152404357454</x:v>
      </x:c>
      <x:c r="P335" s="73" t="n">
        <x:f>COUNTIF($O$332:$O$337,"&gt;"&amp;O335)+1</x:f>
        <x:v>4</x:v>
      </x:c>
      <x:c r="Q335" s="83" t="n">
        <x:f>MAX($G$332:$G$337)-G335</x:f>
        <x:v>2.8306012259211</x:v>
      </x:c>
      <x:c r="R335" s="73" t="str">
        <x:f>INDEX(TrackMap!$B$8:$B$141,H335)</x:f>
        <x:v>中央高速直道</x:v>
      </x:c>
    </x:row>
    <x:row r="336" ht="20" customHeight="1">
      <x:c r="A336" s="73" t="n">
        <x:v>54</x:v>
      </x:c>
      <x:c r="B336" s="73" t="n">
        <x:v>5</x:v>
      </x:c>
      <x:c r="C336" s="73" t="str">
        <x:f>INDEX(Drivers!$B$8:$B$13,B336)</x:f>
        <x:v>青锋</x:v>
      </x:c>
      <x:c r="D336" s="83" t="n">
        <x:f>G330</x:f>
        <x:v>173.89238021957107</x:v>
      </x:c>
      <x:c r="E336" s="83" t="str">
        <x:f>IF(A336=0,"GRID",IF(D336&gt;=Control!$B$17,"FINISHED",IF(AND(A336&gt;=INDEX(Drivers!$G$8:$G$13,B336),A336&lt;INDEX(Drivers!$G$8:$G$13,B336)+INDEX(Drivers!$J$8:$J$13,B336)),"PIT",IF(MOD(A336+INDEX(Drivers!$F$8:$F$13,B336),Control!$B$11)&lt;Control!$B$13,"BOOST","RACE"))))</x:f>
        <x:v>RACE</x:v>
      </x:c>
      <x:c r="F336" s="83" t="n">
        <x:f>IF(OR(E336="GRID",E336="FINISHED",E336="PIT"),0,MAX(Control!$B$15,(INDEX(Drivers!$D$8:$D$13,B336)+INDEX(Drivers!$E$8:$E$13,B336)*SIN((A336+INDEX(Drivers!$F$8:$F$13,B336)+Control!$B$16)*Control!$B$14))*INDEX(TrackMap!$M$8:$M$141,MOD(INT(D336)-1,Control!$B$7)+1)*IF(E336="BOOST",Control!$B$12,1)))</x:f>
        <x:v>3.2361815675405263</x:v>
      </x:c>
      <x:c r="G336" s="83" t="n">
        <x:f>IF(A336=0,D336,MIN(Control!$B$17,D336+F336))</x:f>
        <x:v>177.12856178711158</x:v>
      </x:c>
      <x:c r="H336" s="73" t="n">
        <x:f>MOD(INT(G336)-1,Control!$B$7)+1</x:f>
        <x:v>43</x:v>
      </x:c>
      <x:c r="I336" s="73" t="n">
        <x:f>MIN(Control!$B$6,MAX(1,INT(MAX(0,G336)/Control!$B$7)+1))</x:f>
        <x:v>2</x:v>
      </x:c>
      <x:c r="J336" s="73" t="n">
        <x:f>INDEX(Drivers!$H$8:$H$13,B336)</x:f>
        <x:v>1</x:v>
      </x:c>
      <x:c r="K336" s="73" t="n">
        <x:f>IF(J336=1,INDEX(TrackMap!$I$8:$I$141,H336),INDEX(TrackMap!$L$8:$L$141,H336))</x:f>
        <x:v>1020</x:v>
      </x:c>
      <x:c r="L336" s="73" t="str">
        <x:f>INDEX(TrackMap!$F$8:$F$141,H336)</x:f>
        <x:v>↓</x:v>
      </x:c>
      <x:c r="M336" s="87" t="n">
        <x:f>MAX(0,G336/Control!$B$17)</x:f>
        <x:v>0.2643709877419576</x:v>
      </x:c>
      <x:c r="N336" s="73" t="n">
        <x:f>IF(N330&gt;0,N330,IF(G336&gt;=Control!$B$17,A336,0))</x:f>
        <x:v>0</x:v>
      </x:c>
      <x:c r="O336" s="91" t="n">
        <x:f>IF(N336&gt;0,Control!$B$17+Control!$B$8+1-N336,G336)-B336/100000</x:f>
        <x:v>177.1285117871116</x:v>
      </x:c>
      <x:c r="P336" s="73" t="n">
        <x:f>COUNTIF($O$332:$O$337,"&gt;"&amp;O336)+1</x:f>
        <x:v>6</x:v>
      </x:c>
      <x:c r="Q336" s="83" t="n">
        <x:f>MAX($G$332:$G$337)-G336</x:f>
        <x:v>8.473603482384078</x:v>
      </x:c>
      <x:c r="R336" s="73" t="str">
        <x:f>INDEX(TrackMap!$B$8:$B$141,H336)</x:f>
        <x:v>西侧发卡弯</x:v>
      </x:c>
    </x:row>
    <x:row r="337" ht="20" customHeight="1">
      <x:c r="A337" s="73" t="n">
        <x:v>54</x:v>
      </x:c>
      <x:c r="B337" s="73" t="n">
        <x:v>6</x:v>
      </x:c>
      <x:c r="C337" s="73" t="str">
        <x:f>INDEX(Drivers!$B$8:$B$13,B337)</x:f>
        <x:v>玫速</x:v>
      </x:c>
      <x:c r="D337" s="83" t="n">
        <x:f>G331</x:f>
        <x:v>178.69763995057883</x:v>
      </x:c>
      <x:c r="E337" s="83" t="str">
        <x:f>IF(A337=0,"GRID",IF(D337&gt;=Control!$B$17,"FINISHED",IF(AND(A337&gt;=INDEX(Drivers!$G$8:$G$13,B337),A337&lt;INDEX(Drivers!$G$8:$G$13,B337)+INDEX(Drivers!$J$8:$J$13,B337)),"PIT",IF(MOD(A337+INDEX(Drivers!$F$8:$F$13,B337),Control!$B$11)&lt;Control!$B$13,"BOOST","RACE"))))</x:f>
        <x:v>RACE</x:v>
      </x:c>
      <x:c r="F337" s="83" t="n">
        <x:f>IF(OR(E337="GRID",E337="FINISHED",E337="PIT"),0,MAX(Control!$B$15,(INDEX(Drivers!$D$8:$D$13,B337)+INDEX(Drivers!$E$8:$E$13,B337)*SIN((A337+INDEX(Drivers!$F$8:$F$13,B337)+Control!$B$16)*Control!$B$14))*INDEX(TrackMap!$M$8:$M$141,MOD(INT(D337)-1,Control!$B$7)+1)*IF(E337="BOOST",Control!$B$12,1)))</x:f>
        <x:v>2.488185188708511</x:v>
      </x:c>
      <x:c r="G337" s="83" t="n">
        <x:f>IF(A337=0,D337,MIN(Control!$B$17,D337+F337))</x:f>
        <x:v>181.18582513928735</x:v>
      </x:c>
      <x:c r="H337" s="73" t="n">
        <x:f>MOD(INT(G337)-1,Control!$B$7)+1</x:f>
        <x:v>47</x:v>
      </x:c>
      <x:c r="I337" s="73" t="n">
        <x:f>MIN(Control!$B$6,MAX(1,INT(MAX(0,G337)/Control!$B$7)+1))</x:f>
        <x:v>2</x:v>
      </x:c>
      <x:c r="J337" s="73" t="n">
        <x:f>INDEX(Drivers!$H$8:$H$13,B337)</x:f>
        <x:v>2</x:v>
      </x:c>
      <x:c r="K337" s="73" t="n">
        <x:f>IF(J337=1,INDEX(TrackMap!$I$8:$I$141,H337),INDEX(TrackMap!$L$8:$L$141,H337))</x:f>
        <x:v>1420</x:v>
      </x:c>
      <x:c r="L337" s="73" t="str">
        <x:f>INDEX(TrackMap!$F$8:$F$141,H337)</x:f>
        <x:v>↓</x:v>
      </x:c>
      <x:c r="M337" s="87" t="n">
        <x:f>MAX(0,G337/Control!$B$17)</x:f>
        <x:v>0.2704266046855035</x:v>
      </x:c>
      <x:c r="N337" s="73" t="n">
        <x:f>IF(N331&gt;0,N331,IF(G337&gt;=Control!$B$17,A337,0))</x:f>
        <x:v>0</x:v>
      </x:c>
      <x:c r="O337" s="91" t="n">
        <x:f>IF(N337&gt;0,Control!$B$17+Control!$B$8+1-N337,G337)-B337/100000</x:f>
        <x:v>181.18576513928735</x:v>
      </x:c>
      <x:c r="P337" s="73" t="n">
        <x:f>COUNTIF($O$332:$O$337,"&gt;"&amp;O337)+1</x:f>
        <x:v>5</x:v>
      </x:c>
      <x:c r="Q337" s="83" t="n">
        <x:f>MAX($G$332:$G$337)-G337</x:f>
        <x:v>4.416340130208312</x:v>
      </x:c>
      <x:c r="R337" s="73" t="str">
        <x:f>INDEX(TrackMap!$B$8:$B$141,H337)</x:f>
        <x:v>中段下行弯</x:v>
      </x:c>
    </x:row>
    <x:row r="338" ht="20" customHeight="1">
      <x:c r="A338" s="73" t="n">
        <x:v>55</x:v>
      </x:c>
      <x:c r="B338" s="73" t="n">
        <x:v>1</x:v>
      </x:c>
      <x:c r="C338" s="73" t="str">
        <x:f>INDEX(Drivers!$B$8:$B$13,B338)</x:f>
        <x:v>赤焰</x:v>
      </x:c>
      <x:c r="D338" s="83" t="n">
        <x:f>G332</x:f>
        <x:v>183.76586434174044</x:v>
      </x:c>
      <x:c r="E338" s="83" t="str">
        <x:f>IF(A338=0,"GRID",IF(D338&gt;=Control!$B$17,"FINISHED",IF(AND(A338&gt;=INDEX(Drivers!$G$8:$G$13,B338),A338&lt;INDEX(Drivers!$G$8:$G$13,B338)+INDEX(Drivers!$J$8:$J$13,B338)),"PIT",IF(MOD(A338+INDEX(Drivers!$F$8:$F$13,B338),Control!$B$11)&lt;Control!$B$13,"BOOST","RACE"))))</x:f>
        <x:v>RACE</x:v>
      </x:c>
      <x:c r="F338" s="83" t="n">
        <x:f>IF(OR(E338="GRID",E338="FINISHED",E338="PIT"),0,MAX(Control!$B$15,(INDEX(Drivers!$D$8:$D$13,B338)+INDEX(Drivers!$E$8:$E$13,B338)*SIN((A338+INDEX(Drivers!$F$8:$F$13,B338)+Control!$B$16)*Control!$B$14))*INDEX(TrackMap!$M$8:$M$141,MOD(INT(D338)-1,Control!$B$7)+1)*IF(E338="BOOST",Control!$B$12,1)))</x:f>
        <x:v>3.8627906239324914</x:v>
      </x:c>
      <x:c r="G338" s="83" t="n">
        <x:f>IF(A338=0,D338,MIN(Control!$B$17,D338+F338))</x:f>
        <x:v>187.62865496567292</x:v>
      </x:c>
      <x:c r="H338" s="73" t="n">
        <x:f>MOD(INT(G338)-1,Control!$B$7)+1</x:f>
        <x:v>53</x:v>
      </x:c>
      <x:c r="I338" s="73" t="n">
        <x:f>MIN(Control!$B$6,MAX(1,INT(MAX(0,G338)/Control!$B$7)+1))</x:f>
        <x:v>2</x:v>
      </x:c>
      <x:c r="J338" s="73" t="n">
        <x:f>INDEX(Drivers!$H$8:$H$13,B338)</x:f>
        <x:v>1</x:v>
      </x:c>
      <x:c r="K338" s="73" t="n">
        <x:f>IF(J338=1,INDEX(TrackMap!$I$8:$I$141,H338),INDEX(TrackMap!$L$8:$L$141,H338))</x:f>
        <x:v>1626</x:v>
      </x:c>
      <x:c r="L338" s="73" t="str">
        <x:f>INDEX(TrackMap!$F$8:$F$141,H338)</x:f>
        <x:v>→</x:v>
      </x:c>
      <x:c r="M338" s="87" t="n">
        <x:f>MAX(0,G338/Control!$B$17)</x:f>
        <x:v>0.280042768605482</x:v>
      </x:c>
      <x:c r="N338" s="73" t="n">
        <x:f>IF(N332&gt;0,N332,IF(G338&gt;=Control!$B$17,A338,0))</x:f>
        <x:v>0</x:v>
      </x:c>
      <x:c r="O338" s="91" t="n">
        <x:f>IF(N338&gt;0,Control!$B$17+Control!$B$8+1-N338,G338)-B338/100000</x:f>
        <x:v>187.62864496567292</x:v>
      </x:c>
      <x:c r="P338" s="73" t="n">
        <x:f>COUNTIF($O$338:$O$343,"&gt;"&amp;O338)+1</x:f>
        <x:v>3</x:v>
      </x:c>
      <x:c r="Q338" s="83" t="n">
        <x:f>MAX($G$338:$G$343)-G338</x:f>
        <x:v>1.3901026158647198</x:v>
      </x:c>
      <x:c r="R338" s="73" t="str">
        <x:f>INDEX(TrackMap!$B$8:$B$141,H338)</x:f>
        <x:v>中央高速直道</x:v>
      </x:c>
    </x:row>
    <x:row r="339" ht="20" customHeight="1">
      <x:c r="A339" s="73" t="n">
        <x:v>55</x:v>
      </x:c>
      <x:c r="B339" s="73" t="n">
        <x:v>2</x:v>
      </x:c>
      <x:c r="C339" s="73" t="str">
        <x:f>INDEX(Drivers!$B$8:$B$13,B339)</x:f>
        <x:v>蓝电</x:v>
      </x:c>
      <x:c r="D339" s="83" t="n">
        <x:f>G333</x:f>
        <x:v>184.061242815703</x:v>
      </x:c>
      <x:c r="E339" s="83" t="str">
        <x:f>IF(A339=0,"GRID",IF(D339&gt;=Control!$B$17,"FINISHED",IF(AND(A339&gt;=INDEX(Drivers!$G$8:$G$13,B339),A339&lt;INDEX(Drivers!$G$8:$G$13,B339)+INDEX(Drivers!$J$8:$J$13,B339)),"PIT",IF(MOD(A339+INDEX(Drivers!$F$8:$F$13,B339),Control!$B$11)&lt;Control!$B$13,"BOOST","RACE"))))</x:f>
        <x:v>BOOST</x:v>
      </x:c>
      <x:c r="F339" s="83" t="n">
        <x:f>IF(OR(E339="GRID",E339="FINISHED",E339="PIT"),0,MAX(Control!$B$15,(INDEX(Drivers!$D$8:$D$13,B339)+INDEX(Drivers!$E$8:$E$13,B339)*SIN((A339+INDEX(Drivers!$F$8:$F$13,B339)+Control!$B$16)*Control!$B$14))*INDEX(TrackMap!$M$8:$M$141,MOD(INT(D339)-1,Control!$B$7)+1)*IF(E339="BOOST",Control!$B$12,1)))</x:f>
        <x:v>4.957514765834645</x:v>
      </x:c>
      <x:c r="G339" s="83" t="n">
        <x:f>IF(A339=0,D339,MIN(Control!$B$17,D339+F339))</x:f>
        <x:v>189.01875758153764</x:v>
      </x:c>
      <x:c r="H339" s="73" t="n">
        <x:f>MOD(INT(G339)-1,Control!$B$7)+1</x:f>
        <x:v>55</x:v>
      </x:c>
      <x:c r="I339" s="73" t="n">
        <x:f>MIN(Control!$B$6,MAX(1,INT(MAX(0,G339)/Control!$B$7)+1))</x:f>
        <x:v>2</x:v>
      </x:c>
      <x:c r="J339" s="73" t="n">
        <x:f>INDEX(Drivers!$H$8:$H$13,B339)</x:f>
        <x:v>2</x:v>
      </x:c>
      <x:c r="K339" s="73" t="n">
        <x:f>IF(J339=1,INDEX(TrackMap!$I$8:$I$141,H339),INDEX(TrackMap!$L$8:$L$141,H339))</x:f>
        <x:v>1528</x:v>
      </x:c>
      <x:c r="L339" s="73" t="str">
        <x:f>INDEX(TrackMap!$F$8:$F$141,H339)</x:f>
        <x:v>→</x:v>
      </x:c>
      <x:c r="M339" s="87" t="n">
        <x:f>MAX(0,G339/Control!$B$17)</x:f>
        <x:v>0.28211754862916066</x:v>
      </x:c>
      <x:c r="N339" s="73" t="n">
        <x:f>IF(N333&gt;0,N333,IF(G339&gt;=Control!$B$17,A339,0))</x:f>
        <x:v>0</x:v>
      </x:c>
      <x:c r="O339" s="91" t="n">
        <x:f>IF(N339&gt;0,Control!$B$17+Control!$B$8+1-N339,G339)-B339/100000</x:f>
        <x:v>189.01873758153764</x:v>
      </x:c>
      <x:c r="P339" s="73" t="n">
        <x:f>COUNTIF($O$338:$O$343,"&gt;"&amp;O339)+1</x:f>
        <x:v>1</x:v>
      </x:c>
      <x:c r="Q339" s="83" t="n">
        <x:f>MAX($G$338:$G$343)-G339</x:f>
        <x:v>0</x:v>
      </x:c>
      <x:c r="R339" s="73" t="str">
        <x:f>INDEX(TrackMap!$B$8:$B$141,H339)</x:f>
        <x:v>中央高速直道</x:v>
      </x:c>
    </x:row>
    <x:row r="340" ht="20" customHeight="1">
      <x:c r="A340" s="73" t="n">
        <x:v>55</x:v>
      </x:c>
      <x:c r="B340" s="73" t="n">
        <x:v>3</x:v>
      </x:c>
      <x:c r="C340" s="73" t="str">
        <x:f>INDEX(Drivers!$B$8:$B$13,B340)</x:f>
        <x:v>金翼</x:v>
      </x:c>
      <x:c r="D340" s="83" t="n">
        <x:f>G334</x:f>
        <x:v>185.60216526949566</x:v>
      </x:c>
      <x:c r="E340" s="83" t="str">
        <x:f>IF(A340=0,"GRID",IF(D340&gt;=Control!$B$17,"FINISHED",IF(AND(A340&gt;=INDEX(Drivers!$G$8:$G$13,B340),A340&lt;INDEX(Drivers!$G$8:$G$13,B340)+INDEX(Drivers!$J$8:$J$13,B340)),"PIT",IF(MOD(A340+INDEX(Drivers!$F$8:$F$13,B340),Control!$B$11)&lt;Control!$B$13,"BOOST","RACE"))))</x:f>
        <x:v>RACE</x:v>
      </x:c>
      <x:c r="F340" s="83" t="n">
        <x:f>IF(OR(E340="GRID",E340="FINISHED",E340="PIT"),0,MAX(Control!$B$15,(INDEX(Drivers!$D$8:$D$13,B340)+INDEX(Drivers!$E$8:$E$13,B340)*SIN((A340+INDEX(Drivers!$F$8:$F$13,B340)+Control!$B$16)*Control!$B$14))*INDEX(TrackMap!$M$8:$M$141,MOD(INT(D340)-1,Control!$B$7)+1)*IF(E340="BOOST",Control!$B$12,1)))</x:f>
        <x:v>3.3756303941403765</x:v>
      </x:c>
      <x:c r="G340" s="83" t="n">
        <x:f>IF(A340=0,D340,MIN(Control!$B$17,D340+F340))</x:f>
        <x:v>188.97779566363604</x:v>
      </x:c>
      <x:c r="H340" s="73" t="n">
        <x:f>MOD(INT(G340)-1,Control!$B$7)+1</x:f>
        <x:v>54</x:v>
      </x:c>
      <x:c r="I340" s="73" t="n">
        <x:f>MIN(Control!$B$6,MAX(1,INT(MAX(0,G340)/Control!$B$7)+1))</x:f>
        <x:v>2</x:v>
      </x:c>
      <x:c r="J340" s="73" t="n">
        <x:f>INDEX(Drivers!$H$8:$H$13,B340)</x:f>
        <x:v>1</x:v>
      </x:c>
      <x:c r="K340" s="73" t="n">
        <x:f>IF(J340=1,INDEX(TrackMap!$I$8:$I$141,H340),INDEX(TrackMap!$L$8:$L$141,H340))</x:f>
        <x:v>1627</x:v>
      </x:c>
      <x:c r="L340" s="73" t="str">
        <x:f>INDEX(TrackMap!$F$8:$F$141,H340)</x:f>
        <x:v>→</x:v>
      </x:c>
      <x:c r="M340" s="87" t="n">
        <x:f>MAX(0,G340/Control!$B$17)</x:f>
        <x:v>0.28205641143826277</x:v>
      </x:c>
      <x:c r="N340" s="73" t="n">
        <x:f>IF(N334&gt;0,N334,IF(G340&gt;=Control!$B$17,A340,0))</x:f>
        <x:v>0</x:v>
      </x:c>
      <x:c r="O340" s="91" t="n">
        <x:f>IF(N340&gt;0,Control!$B$17+Control!$B$8+1-N340,G340)-B340/100000</x:f>
        <x:v>188.97776566363603</x:v>
      </x:c>
      <x:c r="P340" s="73" t="n">
        <x:f>COUNTIF($O$338:$O$343,"&gt;"&amp;O340)+1</x:f>
        <x:v>2</x:v>
      </x:c>
      <x:c r="Q340" s="83" t="n">
        <x:f>MAX($G$338:$G$343)-G340</x:f>
        <x:v>0.040961917901597644</x:v>
      </x:c>
      <x:c r="R340" s="73" t="str">
        <x:f>INDEX(TrackMap!$B$8:$B$141,H340)</x:f>
        <x:v>中央高速直道</x:v>
      </x:c>
    </x:row>
    <x:row r="341" ht="20" customHeight="1">
      <x:c r="A341" s="73" t="n">
        <x:v>55</x:v>
      </x:c>
      <x:c r="B341" s="73" t="n">
        <x:v>4</x:v>
      </x:c>
      <x:c r="C341" s="73" t="str">
        <x:f>INDEX(Drivers!$B$8:$B$13,B341)</x:f>
        <x:v>紫影</x:v>
      </x:c>
      <x:c r="D341" s="83" t="n">
        <x:f>G335</x:f>
        <x:v>182.77156404357456</x:v>
      </x:c>
      <x:c r="E341" s="83" t="str">
        <x:f>IF(A341=0,"GRID",IF(D341&gt;=Control!$B$17,"FINISHED",IF(AND(A341&gt;=INDEX(Drivers!$G$8:$G$13,B341),A341&lt;INDEX(Drivers!$G$8:$G$13,B341)+INDEX(Drivers!$J$8:$J$13,B341)),"PIT",IF(MOD(A341+INDEX(Drivers!$F$8:$F$13,B341),Control!$B$11)&lt;Control!$B$13,"BOOST","RACE"))))</x:f>
        <x:v>RACE</x:v>
      </x:c>
      <x:c r="F341" s="83" t="n">
        <x:f>IF(OR(E341="GRID",E341="FINISHED",E341="PIT"),0,MAX(Control!$B$15,(INDEX(Drivers!$D$8:$D$13,B341)+INDEX(Drivers!$E$8:$E$13,B341)*SIN((A341+INDEX(Drivers!$F$8:$F$13,B341)+Control!$B$16)*Control!$B$14))*INDEX(TrackMap!$M$8:$M$141,MOD(INT(D341)-1,Control!$B$7)+1)*IF(E341="BOOST",Control!$B$12,1)))</x:f>
        <x:v>4.151770668496334</x:v>
      </x:c>
      <x:c r="G341" s="83" t="n">
        <x:f>IF(A341=0,D341,MIN(Control!$B$17,D341+F341))</x:f>
        <x:v>186.9233347120709</x:v>
      </x:c>
      <x:c r="H341" s="73" t="n">
        <x:f>MOD(INT(G341)-1,Control!$B$7)+1</x:f>
        <x:v>52</x:v>
      </x:c>
      <x:c r="I341" s="73" t="n">
        <x:f>MIN(Control!$B$6,MAX(1,INT(MAX(0,G341)/Control!$B$7)+1))</x:f>
        <x:v>2</x:v>
      </x:c>
      <x:c r="J341" s="73" t="n">
        <x:f>INDEX(Drivers!$H$8:$H$13,B341)</x:f>
        <x:v>2</x:v>
      </x:c>
      <x:c r="K341" s="73" t="n">
        <x:f>IF(J341=1,INDEX(TrackMap!$I$8:$I$141,H341),INDEX(TrackMap!$L$8:$L$141,H341))</x:f>
        <x:v>1525</x:v>
      </x:c>
      <x:c r="L341" s="73" t="str">
        <x:f>INDEX(TrackMap!$F$8:$F$141,H341)</x:f>
        <x:v>→</x:v>
      </x:c>
      <x:c r="M341" s="87" t="n">
        <x:f>MAX(0,G341/Control!$B$17)</x:f>
        <x:v>0.27899005180906106</x:v>
      </x:c>
      <x:c r="N341" s="73" t="n">
        <x:f>IF(N335&gt;0,N335,IF(G341&gt;=Control!$B$17,A341,0))</x:f>
        <x:v>0</x:v>
      </x:c>
      <x:c r="O341" s="91" t="n">
        <x:f>IF(N341&gt;0,Control!$B$17+Control!$B$8+1-N341,G341)-B341/100000</x:f>
        <x:v>186.92329471207088</x:v>
      </x:c>
      <x:c r="P341" s="73" t="n">
        <x:f>COUNTIF($O$338:$O$343,"&gt;"&amp;O341)+1</x:f>
        <x:v>4</x:v>
      </x:c>
      <x:c r="Q341" s="83" t="n">
        <x:f>MAX($G$338:$G$343)-G341</x:f>
        <x:v>2.095422869466745</x:v>
      </x:c>
      <x:c r="R341" s="73" t="str">
        <x:f>INDEX(TrackMap!$B$8:$B$141,H341)</x:f>
        <x:v>中央高速直道</x:v>
      </x:c>
    </x:row>
    <x:row r="342" ht="20" customHeight="1">
      <x:c r="A342" s="73" t="n">
        <x:v>55</x:v>
      </x:c>
      <x:c r="B342" s="73" t="n">
        <x:v>5</x:v>
      </x:c>
      <x:c r="C342" s="73" t="str">
        <x:f>INDEX(Drivers!$B$8:$B$13,B342)</x:f>
        <x:v>青锋</x:v>
      </x:c>
      <x:c r="D342" s="83" t="n">
        <x:f>G336</x:f>
        <x:v>177.12856178711158</x:v>
      </x:c>
      <x:c r="E342" s="83" t="str">
        <x:f>IF(A342=0,"GRID",IF(D342&gt;=Control!$B$17,"FINISHED",IF(AND(A342&gt;=INDEX(Drivers!$G$8:$G$13,B342),A342&lt;INDEX(Drivers!$G$8:$G$13,B342)+INDEX(Drivers!$J$8:$J$13,B342)),"PIT",IF(MOD(A342+INDEX(Drivers!$F$8:$F$13,B342),Control!$B$11)&lt;Control!$B$13,"BOOST","RACE"))))</x:f>
        <x:v>BOOST</x:v>
      </x:c>
      <x:c r="F342" s="83" t="n">
        <x:f>IF(OR(E342="GRID",E342="FINISHED",E342="PIT"),0,MAX(Control!$B$15,(INDEX(Drivers!$D$8:$D$13,B342)+INDEX(Drivers!$E$8:$E$13,B342)*SIN((A342+INDEX(Drivers!$F$8:$F$13,B342)+Control!$B$16)*Control!$B$14))*INDEX(TrackMap!$M$8:$M$141,MOD(INT(D342)-1,Control!$B$7)+1)*IF(E342="BOOST",Control!$B$12,1)))</x:f>
        <x:v>4.3444374113145505</x:v>
      </x:c>
      <x:c r="G342" s="83" t="n">
        <x:f>IF(A342=0,D342,MIN(Control!$B$17,D342+F342))</x:f>
        <x:v>181.47299919842612</x:v>
      </x:c>
      <x:c r="H342" s="73" t="n">
        <x:f>MOD(INT(G342)-1,Control!$B$7)+1</x:f>
        <x:v>47</x:v>
      </x:c>
      <x:c r="I342" s="73" t="n">
        <x:f>MIN(Control!$B$6,MAX(1,INT(MAX(0,G342)/Control!$B$7)+1))</x:f>
        <x:v>2</x:v>
      </x:c>
      <x:c r="J342" s="73" t="n">
        <x:f>INDEX(Drivers!$H$8:$H$13,B342)</x:f>
        <x:v>1</x:v>
      </x:c>
      <x:c r="K342" s="73" t="n">
        <x:f>IF(J342=1,INDEX(TrackMap!$I$8:$I$141,H342),INDEX(TrackMap!$L$8:$L$141,H342))</x:f>
        <x:v>1419</x:v>
      </x:c>
      <x:c r="L342" s="73" t="str">
        <x:f>INDEX(TrackMap!$F$8:$F$141,H342)</x:f>
        <x:v>↓</x:v>
      </x:c>
      <x:c r="M342" s="87" t="n">
        <x:f>MAX(0,G342/Control!$B$17)</x:f>
        <x:v>0.2708552226842181</x:v>
      </x:c>
      <x:c r="N342" s="73" t="n">
        <x:f>IF(N336&gt;0,N336,IF(G342&gt;=Control!$B$17,A342,0))</x:f>
        <x:v>0</x:v>
      </x:c>
      <x:c r="O342" s="91" t="n">
        <x:f>IF(N342&gt;0,Control!$B$17+Control!$B$8+1-N342,G342)-B342/100000</x:f>
        <x:v>181.47294919842614</x:v>
      </x:c>
      <x:c r="P342" s="73" t="n">
        <x:f>COUNTIF($O$338:$O$343,"&gt;"&amp;O342)+1</x:f>
        <x:v>6</x:v>
      </x:c>
      <x:c r="Q342" s="83" t="n">
        <x:f>MAX($G$338:$G$343)-G342</x:f>
        <x:v>7.545758383111519</x:v>
      </x:c>
      <x:c r="R342" s="73" t="str">
        <x:f>INDEX(TrackMap!$B$8:$B$141,H342)</x:f>
        <x:v>中段下行弯</x:v>
      </x:c>
    </x:row>
    <x:row r="343" ht="20" customHeight="1">
      <x:c r="A343" s="73" t="n">
        <x:v>55</x:v>
      </x:c>
      <x:c r="B343" s="73" t="n">
        <x:v>6</x:v>
      </x:c>
      <x:c r="C343" s="73" t="str">
        <x:f>INDEX(Drivers!$B$8:$B$13,B343)</x:f>
        <x:v>玫速</x:v>
      </x:c>
      <x:c r="D343" s="83" t="n">
        <x:f>G337</x:f>
        <x:v>181.18582513928735</x:v>
      </x:c>
      <x:c r="E343" s="83" t="str">
        <x:f>IF(A343=0,"GRID",IF(D343&gt;=Control!$B$17,"FINISHED",IF(AND(A343&gt;=INDEX(Drivers!$G$8:$G$13,B343),A343&lt;INDEX(Drivers!$G$8:$G$13,B343)+INDEX(Drivers!$J$8:$J$13,B343)),"PIT",IF(MOD(A343+INDEX(Drivers!$F$8:$F$13,B343),Control!$B$11)&lt;Control!$B$13,"BOOST","RACE"))))</x:f>
        <x:v>RACE</x:v>
      </x:c>
      <x:c r="F343" s="83" t="n">
        <x:f>IF(OR(E343="GRID",E343="FINISHED",E343="PIT"),0,MAX(Control!$B$15,(INDEX(Drivers!$D$8:$D$13,B343)+INDEX(Drivers!$E$8:$E$13,B343)*SIN((A343+INDEX(Drivers!$F$8:$F$13,B343)+Control!$B$16)*Control!$B$14))*INDEX(TrackMap!$M$8:$M$141,MOD(INT(D343)-1,Control!$B$7)+1)*IF(E343="BOOST",Control!$B$12,1)))</x:f>
        <x:v>3.0979365597756887</x:v>
      </x:c>
      <x:c r="G343" s="83" t="n">
        <x:f>IF(A343=0,D343,MIN(Control!$B$17,D343+F343))</x:f>
        <x:v>184.28376169906304</x:v>
      </x:c>
      <x:c r="H343" s="73" t="n">
        <x:f>MOD(INT(G343)-1,Control!$B$7)+1</x:f>
        <x:v>50</x:v>
      </x:c>
      <x:c r="I343" s="73" t="n">
        <x:f>MIN(Control!$B$6,MAX(1,INT(MAX(0,G343)/Control!$B$7)+1))</x:f>
        <x:v>2</x:v>
      </x:c>
      <x:c r="J343" s="73" t="n">
        <x:f>INDEX(Drivers!$H$8:$H$13,B343)</x:f>
        <x:v>2</x:v>
      </x:c>
      <x:c r="K343" s="73" t="n">
        <x:f>IF(J343=1,INDEX(TrackMap!$I$8:$I$141,H343),INDEX(TrackMap!$L$8:$L$141,H343))</x:f>
        <x:v>1523</x:v>
      </x:c>
      <x:c r="L343" s="73" t="str">
        <x:f>INDEX(TrackMap!$F$8:$F$141,H343)</x:f>
        <x:v>→</x:v>
      </x:c>
      <x:c r="M343" s="87" t="n">
        <x:f>MAX(0,G343/Control!$B$17)</x:f>
        <x:v>0.2750503905956165</x:v>
      </x:c>
      <x:c r="N343" s="73" t="n">
        <x:f>IF(N337&gt;0,N337,IF(G343&gt;=Control!$B$17,A343,0))</x:f>
        <x:v>0</x:v>
      </x:c>
      <x:c r="O343" s="91" t="n">
        <x:f>IF(N343&gt;0,Control!$B$17+Control!$B$8+1-N343,G343)-B343/100000</x:f>
        <x:v>184.28370169906304</x:v>
      </x:c>
      <x:c r="P343" s="73" t="n">
        <x:f>COUNTIF($O$338:$O$343,"&gt;"&amp;O343)+1</x:f>
        <x:v>5</x:v>
      </x:c>
      <x:c r="Q343" s="83" t="n">
        <x:f>MAX($G$338:$G$343)-G343</x:f>
        <x:v>4.734995882474607</x:v>
      </x:c>
      <x:c r="R343" s="73" t="str">
        <x:f>INDEX(TrackMap!$B$8:$B$141,H343)</x:f>
        <x:v>中央高速直道</x:v>
      </x:c>
    </x:row>
    <x:row r="344" ht="20" customHeight="1">
      <x:c r="A344" s="73" t="n">
        <x:v>56</x:v>
      </x:c>
      <x:c r="B344" s="73" t="n">
        <x:v>1</x:v>
      </x:c>
      <x:c r="C344" s="73" t="str">
        <x:f>INDEX(Drivers!$B$8:$B$13,B344)</x:f>
        <x:v>赤焰</x:v>
      </x:c>
      <x:c r="D344" s="83" t="n">
        <x:f>G338</x:f>
        <x:v>187.62865496567292</x:v>
      </x:c>
      <x:c r="E344" s="83" t="str">
        <x:f>IF(A344=0,"GRID",IF(D344&gt;=Control!$B$17,"FINISHED",IF(AND(A344&gt;=INDEX(Drivers!$G$8:$G$13,B344),A344&lt;INDEX(Drivers!$G$8:$G$13,B344)+INDEX(Drivers!$J$8:$J$13,B344)),"PIT",IF(MOD(A344+INDEX(Drivers!$F$8:$F$13,B344),Control!$B$11)&lt;Control!$B$13,"BOOST","RACE"))))</x:f>
        <x:v>RACE</x:v>
      </x:c>
      <x:c r="F344" s="83" t="n">
        <x:f>IF(OR(E344="GRID",E344="FINISHED",E344="PIT"),0,MAX(Control!$B$15,(INDEX(Drivers!$D$8:$D$13,B344)+INDEX(Drivers!$E$8:$E$13,B344)*SIN((A344+INDEX(Drivers!$F$8:$F$13,B344)+Control!$B$16)*Control!$B$14))*INDEX(TrackMap!$M$8:$M$141,MOD(INT(D344)-1,Control!$B$7)+1)*IF(E344="BOOST",Control!$B$12,1)))</x:f>
        <x:v>4.031790567538733</x:v>
      </x:c>
      <x:c r="G344" s="83" t="n">
        <x:f>IF(A344=0,D344,MIN(Control!$B$17,D344+F344))</x:f>
        <x:v>191.66044553321166</x:v>
      </x:c>
      <x:c r="H344" s="73" t="n">
        <x:f>MOD(INT(G344)-1,Control!$B$7)+1</x:f>
        <x:v>57</x:v>
      </x:c>
      <x:c r="I344" s="73" t="n">
        <x:f>MIN(Control!$B$6,MAX(1,INT(MAX(0,G344)/Control!$B$7)+1))</x:f>
        <x:v>2</x:v>
      </x:c>
      <x:c r="J344" s="73" t="n">
        <x:f>INDEX(Drivers!$H$8:$H$13,B344)</x:f>
        <x:v>1</x:v>
      </x:c>
      <x:c r="K344" s="73" t="n">
        <x:f>IF(J344=1,INDEX(TrackMap!$I$8:$I$141,H344),INDEX(TrackMap!$L$8:$L$141,H344))</x:f>
        <x:v>1630</x:v>
      </x:c>
      <x:c r="L344" s="73" t="str">
        <x:f>INDEX(TrackMap!$F$8:$F$141,H344)</x:f>
        <x:v>→</x:v>
      </x:c>
      <x:c r="M344" s="87" t="n">
        <x:f>MAX(0,G344/Control!$B$17)</x:f>
        <x:v>0.28606036646748007</x:v>
      </x:c>
      <x:c r="N344" s="73" t="n">
        <x:f>IF(N338&gt;0,N338,IF(G344&gt;=Control!$B$17,A344,0))</x:f>
        <x:v>0</x:v>
      </x:c>
      <x:c r="O344" s="91" t="n">
        <x:f>IF(N344&gt;0,Control!$B$17+Control!$B$8+1-N344,G344)-B344/100000</x:f>
        <x:v>191.66043553321165</x:v>
      </x:c>
      <x:c r="P344" s="73" t="n">
        <x:f>COUNTIF($O$344:$O$349,"&gt;"&amp;O344)+1</x:f>
        <x:v>3</x:v>
      </x:c>
      <x:c r="Q344" s="83" t="n">
        <x:f>MAX($G$344:$G$349)-G344</x:f>
        <x:v>2.017973536959488</x:v>
      </x:c>
      <x:c r="R344" s="73" t="str">
        <x:f>INDEX(TrackMap!$B$8:$B$141,H344)</x:f>
        <x:v>中央高速直道</x:v>
      </x:c>
    </x:row>
    <x:row r="345" ht="20" customHeight="1">
      <x:c r="A345" s="73" t="n">
        <x:v>56</x:v>
      </x:c>
      <x:c r="B345" s="73" t="n">
        <x:v>2</x:v>
      </x:c>
      <x:c r="C345" s="73" t="str">
        <x:f>INDEX(Drivers!$B$8:$B$13,B345)</x:f>
        <x:v>蓝电</x:v>
      </x:c>
      <x:c r="D345" s="83" t="n">
        <x:f>G339</x:f>
        <x:v>189.01875758153764</x:v>
      </x:c>
      <x:c r="E345" s="83" t="str">
        <x:f>IF(A345=0,"GRID",IF(D345&gt;=Control!$B$17,"FINISHED",IF(AND(A345&gt;=INDEX(Drivers!$G$8:$G$13,B345),A345&lt;INDEX(Drivers!$G$8:$G$13,B345)+INDEX(Drivers!$J$8:$J$13,B345)),"PIT",IF(MOD(A345+INDEX(Drivers!$F$8:$F$13,B345),Control!$B$11)&lt;Control!$B$13,"BOOST","RACE"))))</x:f>
        <x:v>BOOST</x:v>
      </x:c>
      <x:c r="F345" s="83" t="n">
        <x:f>IF(OR(E345="GRID",E345="FINISHED",E345="PIT"),0,MAX(Control!$B$15,(INDEX(Drivers!$D$8:$D$13,B345)+INDEX(Drivers!$E$8:$E$13,B345)*SIN((A345+INDEX(Drivers!$F$8:$F$13,B345)+Control!$B$16)*Control!$B$14))*INDEX(TrackMap!$M$8:$M$141,MOD(INT(D345)-1,Control!$B$7)+1)*IF(E345="BOOST",Control!$B$12,1)))</x:f>
        <x:v>4.65966148863349</x:v>
      </x:c>
      <x:c r="G345" s="83" t="n">
        <x:f>IF(A345=0,D345,MIN(Control!$B$17,D345+F345))</x:f>
        <x:v>193.67841907017115</x:v>
      </x:c>
      <x:c r="H345" s="73" t="n">
        <x:f>MOD(INT(G345)-1,Control!$B$7)+1</x:f>
        <x:v>59</x:v>
      </x:c>
      <x:c r="I345" s="73" t="n">
        <x:f>MIN(Control!$B$6,MAX(1,INT(MAX(0,G345)/Control!$B$7)+1))</x:f>
        <x:v>2</x:v>
      </x:c>
      <x:c r="J345" s="73" t="n">
        <x:f>INDEX(Drivers!$H$8:$H$13,B345)</x:f>
        <x:v>2</x:v>
      </x:c>
      <x:c r="K345" s="73" t="n">
        <x:f>IF(J345=1,INDEX(TrackMap!$I$8:$I$141,H345),INDEX(TrackMap!$L$8:$L$141,H345))</x:f>
        <x:v>1532</x:v>
      </x:c>
      <x:c r="L345" s="73" t="str">
        <x:f>INDEX(TrackMap!$F$8:$F$141,H345)</x:f>
        <x:v>→</x:v>
      </x:c>
      <x:c r="M345" s="87" t="n">
        <x:f>MAX(0,G345/Control!$B$17)</x:f>
        <x:v>0.28907226726891216</x:v>
      </x:c>
      <x:c r="N345" s="73" t="n">
        <x:f>IF(N339&gt;0,N339,IF(G345&gt;=Control!$B$17,A345,0))</x:f>
        <x:v>0</x:v>
      </x:c>
      <x:c r="O345" s="91" t="n">
        <x:f>IF(N345&gt;0,Control!$B$17+Control!$B$8+1-N345,G345)-B345/100000</x:f>
        <x:v>193.67839907017114</x:v>
      </x:c>
      <x:c r="P345" s="73" t="n">
        <x:f>COUNTIF($O$344:$O$349,"&gt;"&amp;O345)+1</x:f>
        <x:v>1</x:v>
      </x:c>
      <x:c r="Q345" s="83" t="n">
        <x:f>MAX($G$344:$G$349)-G345</x:f>
        <x:v>0</x:v>
      </x:c>
      <x:c r="R345" s="73" t="str">
        <x:f>INDEX(TrackMap!$B$8:$B$141,H345)</x:f>
        <x:v>中央高速直道</x:v>
      </x:c>
    </x:row>
    <x:row r="346" ht="20" customHeight="1">
      <x:c r="A346" s="73" t="n">
        <x:v>56</x:v>
      </x:c>
      <x:c r="B346" s="73" t="n">
        <x:v>3</x:v>
      </x:c>
      <x:c r="C346" s="73" t="str">
        <x:f>INDEX(Drivers!$B$8:$B$13,B346)</x:f>
        <x:v>金翼</x:v>
      </x:c>
      <x:c r="D346" s="83" t="n">
        <x:f>G340</x:f>
        <x:v>188.97779566363604</x:v>
      </x:c>
      <x:c r="E346" s="83" t="str">
        <x:f>IF(A346=0,"GRID",IF(D346&gt;=Control!$B$17,"FINISHED",IF(AND(A346&gt;=INDEX(Drivers!$G$8:$G$13,B346),A346&lt;INDEX(Drivers!$G$8:$G$13,B346)+INDEX(Drivers!$J$8:$J$13,B346)),"PIT",IF(MOD(A346+INDEX(Drivers!$F$8:$F$13,B346),Control!$B$11)&lt;Control!$B$13,"BOOST","RACE"))))</x:f>
        <x:v>RACE</x:v>
      </x:c>
      <x:c r="F346" s="83" t="n">
        <x:f>IF(OR(E346="GRID",E346="FINISHED",E346="PIT"),0,MAX(Control!$B$15,(INDEX(Drivers!$D$8:$D$13,B346)+INDEX(Drivers!$E$8:$E$13,B346)*SIN((A346+INDEX(Drivers!$F$8:$F$13,B346)+Control!$B$16)*Control!$B$14))*INDEX(TrackMap!$M$8:$M$141,MOD(INT(D346)-1,Control!$B$7)+1)*IF(E346="BOOST",Control!$B$12,1)))</x:f>
        <x:v>3.5351779706580317</x:v>
      </x:c>
      <x:c r="G346" s="83" t="n">
        <x:f>IF(A346=0,D346,MIN(Control!$B$17,D346+F346))</x:f>
        <x:v>192.51297363429407</x:v>
      </x:c>
      <x:c r="H346" s="73" t="n">
        <x:f>MOD(INT(G346)-1,Control!$B$7)+1</x:f>
        <x:v>58</x:v>
      </x:c>
      <x:c r="I346" s="73" t="n">
        <x:f>MIN(Control!$B$6,MAX(1,INT(MAX(0,G346)/Control!$B$7)+1))</x:f>
        <x:v>2</x:v>
      </x:c>
      <x:c r="J346" s="73" t="n">
        <x:f>INDEX(Drivers!$H$8:$H$13,B346)</x:f>
        <x:v>1</x:v>
      </x:c>
      <x:c r="K346" s="73" t="n">
        <x:f>IF(J346=1,INDEX(TrackMap!$I$8:$I$141,H346),INDEX(TrackMap!$L$8:$L$141,H346))</x:f>
        <x:v>1631</x:v>
      </x:c>
      <x:c r="L346" s="73" t="str">
        <x:f>INDEX(TrackMap!$F$8:$F$141,H346)</x:f>
        <x:v>→</x:v>
      </x:c>
      <x:c r="M346" s="87" t="n">
        <x:f>MAX(0,G346/Control!$B$17)</x:f>
        <x:v>0.28733279646909565</x:v>
      </x:c>
      <x:c r="N346" s="73" t="n">
        <x:f>IF(N340&gt;0,N340,IF(G346&gt;=Control!$B$17,A346,0))</x:f>
        <x:v>0</x:v>
      </x:c>
      <x:c r="O346" s="91" t="n">
        <x:f>IF(N346&gt;0,Control!$B$17+Control!$B$8+1-N346,G346)-B346/100000</x:f>
        <x:v>192.51294363429406</x:v>
      </x:c>
      <x:c r="P346" s="73" t="n">
        <x:f>COUNTIF($O$344:$O$349,"&gt;"&amp;O346)+1</x:f>
        <x:v>2</x:v>
      </x:c>
      <x:c r="Q346" s="83" t="n">
        <x:f>MAX($G$344:$G$349)-G346</x:f>
        <x:v>1.165445435877075</x:v>
      </x:c>
      <x:c r="R346" s="73" t="str">
        <x:f>INDEX(TrackMap!$B$8:$B$141,H346)</x:f>
        <x:v>中央高速直道</x:v>
      </x:c>
    </x:row>
    <x:row r="347" ht="20" customHeight="1">
      <x:c r="A347" s="73" t="n">
        <x:v>56</x:v>
      </x:c>
      <x:c r="B347" s="73" t="n">
        <x:v>4</x:v>
      </x:c>
      <x:c r="C347" s="73" t="str">
        <x:f>INDEX(Drivers!$B$8:$B$13,B347)</x:f>
        <x:v>紫影</x:v>
      </x:c>
      <x:c r="D347" s="83" t="n">
        <x:f>G341</x:f>
        <x:v>186.9233347120709</x:v>
      </x:c>
      <x:c r="E347" s="83" t="str">
        <x:f>IF(A347=0,"GRID",IF(D347&gt;=Control!$B$17,"FINISHED",IF(AND(A347&gt;=INDEX(Drivers!$G$8:$G$13,B347),A347&lt;INDEX(Drivers!$G$8:$G$13,B347)+INDEX(Drivers!$J$8:$J$13,B347)),"PIT",IF(MOD(A347+INDEX(Drivers!$F$8:$F$13,B347),Control!$B$11)&lt;Control!$B$13,"BOOST","RACE"))))</x:f>
        <x:v>RACE</x:v>
      </x:c>
      <x:c r="F347" s="83" t="n">
        <x:f>IF(OR(E347="GRID",E347="FINISHED",E347="PIT"),0,MAX(Control!$B$15,(INDEX(Drivers!$D$8:$D$13,B347)+INDEX(Drivers!$E$8:$E$13,B347)*SIN((A347+INDEX(Drivers!$F$8:$F$13,B347)+Control!$B$16)*Control!$B$14))*INDEX(TrackMap!$M$8:$M$141,MOD(INT(D347)-1,Control!$B$7)+1)*IF(E347="BOOST",Control!$B$12,1)))</x:f>
        <x:v>4.049794585447723</x:v>
      </x:c>
      <x:c r="G347" s="83" t="n">
        <x:f>IF(A347=0,D347,MIN(Control!$B$17,D347+F347))</x:f>
        <x:v>190.97312929751862</x:v>
      </x:c>
      <x:c r="H347" s="73" t="n">
        <x:f>MOD(INT(G347)-1,Control!$B$7)+1</x:f>
        <x:v>56</x:v>
      </x:c>
      <x:c r="I347" s="73" t="n">
        <x:f>MIN(Control!$B$6,MAX(1,INT(MAX(0,G347)/Control!$B$7)+1))</x:f>
        <x:v>2</x:v>
      </x:c>
      <x:c r="J347" s="73" t="n">
        <x:f>INDEX(Drivers!$H$8:$H$13,B347)</x:f>
        <x:v>2</x:v>
      </x:c>
      <x:c r="K347" s="73" t="n">
        <x:f>IF(J347=1,INDEX(TrackMap!$I$8:$I$141,H347),INDEX(TrackMap!$L$8:$L$141,H347))</x:f>
        <x:v>1529</x:v>
      </x:c>
      <x:c r="L347" s="73" t="str">
        <x:f>INDEX(TrackMap!$F$8:$F$141,H347)</x:f>
        <x:v>→</x:v>
      </x:c>
      <x:c r="M347" s="87" t="n">
        <x:f>MAX(0,G347/Control!$B$17)</x:f>
        <x:v>0.28503452133958</x:v>
      </x:c>
      <x:c r="N347" s="73" t="n">
        <x:f>IF(N341&gt;0,N341,IF(G347&gt;=Control!$B$17,A347,0))</x:f>
        <x:v>0</x:v>
      </x:c>
      <x:c r="O347" s="91" t="n">
        <x:f>IF(N347&gt;0,Control!$B$17+Control!$B$8+1-N347,G347)-B347/100000</x:f>
        <x:v>190.9730892975186</x:v>
      </x:c>
      <x:c r="P347" s="73" t="n">
        <x:f>COUNTIF($O$344:$O$349,"&gt;"&amp;O347)+1</x:f>
        <x:v>4</x:v>
      </x:c>
      <x:c r="Q347" s="83" t="n">
        <x:f>MAX($G$344:$G$349)-G347</x:f>
        <x:v>2.7052897726525202</x:v>
      </x:c>
      <x:c r="R347" s="73" t="str">
        <x:f>INDEX(TrackMap!$B$8:$B$141,H347)</x:f>
        <x:v>中央高速直道</x:v>
      </x:c>
    </x:row>
    <x:row r="348" ht="20" customHeight="1">
      <x:c r="A348" s="73" t="n">
        <x:v>56</x:v>
      </x:c>
      <x:c r="B348" s="73" t="n">
        <x:v>5</x:v>
      </x:c>
      <x:c r="C348" s="73" t="str">
        <x:f>INDEX(Drivers!$B$8:$B$13,B348)</x:f>
        <x:v>青锋</x:v>
      </x:c>
      <x:c r="D348" s="83" t="n">
        <x:f>G342</x:f>
        <x:v>181.47299919842612</x:v>
      </x:c>
      <x:c r="E348" s="83" t="str">
        <x:f>IF(A348=0,"GRID",IF(D348&gt;=Control!$B$17,"FINISHED",IF(AND(A348&gt;=INDEX(Drivers!$G$8:$G$13,B348),A348&lt;INDEX(Drivers!$G$8:$G$13,B348)+INDEX(Drivers!$J$8:$J$13,B348)),"PIT",IF(MOD(A348+INDEX(Drivers!$F$8:$F$13,B348),Control!$B$11)&lt;Control!$B$13,"BOOST","RACE"))))</x:f>
        <x:v>BOOST</x:v>
      </x:c>
      <x:c r="F348" s="83" t="n">
        <x:f>IF(OR(E348="GRID",E348="FINISHED",E348="PIT"),0,MAX(Control!$B$15,(INDEX(Drivers!$D$8:$D$13,B348)+INDEX(Drivers!$E$8:$E$13,B348)*SIN((A348+INDEX(Drivers!$F$8:$F$13,B348)+Control!$B$16)*Control!$B$14))*INDEX(TrackMap!$M$8:$M$141,MOD(INT(D348)-1,Control!$B$7)+1)*IF(E348="BOOST",Control!$B$12,1)))</x:f>
        <x:v>5.447914151747542</x:v>
      </x:c>
      <x:c r="G348" s="83" t="n">
        <x:f>IF(A348=0,D348,MIN(Control!$B$17,D348+F348))</x:f>
        <x:v>186.92091335017366</x:v>
      </x:c>
      <x:c r="H348" s="73" t="n">
        <x:f>MOD(INT(G348)-1,Control!$B$7)+1</x:f>
        <x:v>52</x:v>
      </x:c>
      <x:c r="I348" s="73" t="n">
        <x:f>MIN(Control!$B$6,MAX(1,INT(MAX(0,G348)/Control!$B$7)+1))</x:f>
        <x:v>2</x:v>
      </x:c>
      <x:c r="J348" s="73" t="n">
        <x:f>INDEX(Drivers!$H$8:$H$13,B348)</x:f>
        <x:v>1</x:v>
      </x:c>
      <x:c r="K348" s="73" t="n">
        <x:f>IF(J348=1,INDEX(TrackMap!$I$8:$I$141,H348),INDEX(TrackMap!$L$8:$L$141,H348))</x:f>
        <x:v>1625</x:v>
      </x:c>
      <x:c r="L348" s="73" t="str">
        <x:f>INDEX(TrackMap!$F$8:$F$141,H348)</x:f>
        <x:v>→</x:v>
      </x:c>
      <x:c r="M348" s="87" t="n">
        <x:f>MAX(0,G348/Control!$B$17)</x:f>
        <x:v>0.27898643783608007</x:v>
      </x:c>
      <x:c r="N348" s="73" t="n">
        <x:f>IF(N342&gt;0,N342,IF(G348&gt;=Control!$B$17,A348,0))</x:f>
        <x:v>0</x:v>
      </x:c>
      <x:c r="O348" s="91" t="n">
        <x:f>IF(N348&gt;0,Control!$B$17+Control!$B$8+1-N348,G348)-B348/100000</x:f>
        <x:v>186.92086335017368</x:v>
      </x:c>
      <x:c r="P348" s="73" t="n">
        <x:f>COUNTIF($O$344:$O$349,"&gt;"&amp;O348)+1</x:f>
        <x:v>6</x:v>
      </x:c>
      <x:c r="Q348" s="83" t="n">
        <x:f>MAX($G$344:$G$349)-G348</x:f>
        <x:v>6.757505719997482</x:v>
      </x:c>
      <x:c r="R348" s="73" t="str">
        <x:f>INDEX(TrackMap!$B$8:$B$141,H348)</x:f>
        <x:v>中央高速直道</x:v>
      </x:c>
    </x:row>
    <x:row r="349" ht="20" customHeight="1">
      <x:c r="A349" s="73" t="n">
        <x:v>56</x:v>
      </x:c>
      <x:c r="B349" s="73" t="n">
        <x:v>6</x:v>
      </x:c>
      <x:c r="C349" s="73" t="str">
        <x:f>INDEX(Drivers!$B$8:$B$13,B349)</x:f>
        <x:v>玫速</x:v>
      </x:c>
      <x:c r="D349" s="83" t="n">
        <x:f>G343</x:f>
        <x:v>184.28376169906304</x:v>
      </x:c>
      <x:c r="E349" s="83" t="str">
        <x:f>IF(A349=0,"GRID",IF(D349&gt;=Control!$B$17,"FINISHED",IF(AND(A349&gt;=INDEX(Drivers!$G$8:$G$13,B349),A349&lt;INDEX(Drivers!$G$8:$G$13,B349)+INDEX(Drivers!$J$8:$J$13,B349)),"PIT",IF(MOD(A349+INDEX(Drivers!$F$8:$F$13,B349),Control!$B$11)&lt;Control!$B$13,"BOOST","RACE"))))</x:f>
        <x:v>RACE</x:v>
      </x:c>
      <x:c r="F349" s="83" t="n">
        <x:f>IF(OR(E349="GRID",E349="FINISHED",E349="PIT"),0,MAX(Control!$B$15,(INDEX(Drivers!$D$8:$D$13,B349)+INDEX(Drivers!$E$8:$E$13,B349)*SIN((A349+INDEX(Drivers!$F$8:$F$13,B349)+Control!$B$16)*Control!$B$14))*INDEX(TrackMap!$M$8:$M$141,MOD(INT(D349)-1,Control!$B$7)+1)*IF(E349="BOOST",Control!$B$12,1)))</x:f>
        <x:v>3.084671664437945</x:v>
      </x:c>
      <x:c r="G349" s="83" t="n">
        <x:f>IF(A349=0,D349,MIN(Control!$B$17,D349+F349))</x:f>
        <x:v>187.36843336350097</x:v>
      </x:c>
      <x:c r="H349" s="73" t="n">
        <x:f>MOD(INT(G349)-1,Control!$B$7)+1</x:f>
        <x:v>53</x:v>
      </x:c>
      <x:c r="I349" s="73" t="n">
        <x:f>MIN(Control!$B$6,MAX(1,INT(MAX(0,G349)/Control!$B$7)+1))</x:f>
        <x:v>2</x:v>
      </x:c>
      <x:c r="J349" s="73" t="n">
        <x:f>INDEX(Drivers!$H$8:$H$13,B349)</x:f>
        <x:v>2</x:v>
      </x:c>
      <x:c r="K349" s="73" t="n">
        <x:f>IF(J349=1,INDEX(TrackMap!$I$8:$I$141,H349),INDEX(TrackMap!$L$8:$L$141,H349))</x:f>
        <x:v>1526</x:v>
      </x:c>
      <x:c r="L349" s="73" t="str">
        <x:f>INDEX(TrackMap!$F$8:$F$141,H349)</x:f>
        <x:v>→</x:v>
      </x:c>
      <x:c r="M349" s="87" t="n">
        <x:f>MAX(0,G349/Control!$B$17)</x:f>
        <x:v>0.2796543781544791</x:v>
      </x:c>
      <x:c r="N349" s="73" t="n">
        <x:f>IF(N343&gt;0,N343,IF(G349&gt;=Control!$B$17,A349,0))</x:f>
        <x:v>0</x:v>
      </x:c>
      <x:c r="O349" s="91" t="n">
        <x:f>IF(N349&gt;0,Control!$B$17+Control!$B$8+1-N349,G349)-B349/100000</x:f>
        <x:v>187.36837336350098</x:v>
      </x:c>
      <x:c r="P349" s="73" t="n">
        <x:f>COUNTIF($O$344:$O$349,"&gt;"&amp;O349)+1</x:f>
        <x:v>5</x:v>
      </x:c>
      <x:c r="Q349" s="83" t="n">
        <x:f>MAX($G$344:$G$349)-G349</x:f>
        <x:v>6.309985706670176</x:v>
      </x:c>
      <x:c r="R349" s="73" t="str">
        <x:f>INDEX(TrackMap!$B$8:$B$141,H349)</x:f>
        <x:v>中央高速直道</x:v>
      </x:c>
    </x:row>
    <x:row r="350" ht="20" customHeight="1">
      <x:c r="A350" s="73" t="n">
        <x:v>57</x:v>
      </x:c>
      <x:c r="B350" s="73" t="n">
        <x:v>1</x:v>
      </x:c>
      <x:c r="C350" s="73" t="str">
        <x:f>INDEX(Drivers!$B$8:$B$13,B350)</x:f>
        <x:v>赤焰</x:v>
      </x:c>
      <x:c r="D350" s="83" t="n">
        <x:f>G344</x:f>
        <x:v>191.66044553321166</x:v>
      </x:c>
      <x:c r="E350" s="83" t="str">
        <x:f>IF(A350=0,"GRID",IF(D350&gt;=Control!$B$17,"FINISHED",IF(AND(A350&gt;=INDEX(Drivers!$G$8:$G$13,B350),A350&lt;INDEX(Drivers!$G$8:$G$13,B350)+INDEX(Drivers!$J$8:$J$13,B350)),"PIT",IF(MOD(A350+INDEX(Drivers!$F$8:$F$13,B350),Control!$B$11)&lt;Control!$B$13,"BOOST","RACE"))))</x:f>
        <x:v>RACE</x:v>
      </x:c>
      <x:c r="F350" s="83" t="n">
        <x:f>IF(OR(E350="GRID",E350="FINISHED",E350="PIT"),0,MAX(Control!$B$15,(INDEX(Drivers!$D$8:$D$13,B350)+INDEX(Drivers!$E$8:$E$13,B350)*SIN((A350+INDEX(Drivers!$F$8:$F$13,B350)+Control!$B$16)*Control!$B$14))*INDEX(TrackMap!$M$8:$M$141,MOD(INT(D350)-1,Control!$B$7)+1)*IF(E350="BOOST",Control!$B$12,1)))</x:f>
        <x:v>4.149116948889127</x:v>
      </x:c>
      <x:c r="G350" s="83" t="n">
        <x:f>IF(A350=0,D350,MIN(Control!$B$17,D350+F350))</x:f>
        <x:v>195.80956248210077</x:v>
      </x:c>
      <x:c r="H350" s="73" t="n">
        <x:f>MOD(INT(G350)-1,Control!$B$7)+1</x:f>
        <x:v>61</x:v>
      </x:c>
      <x:c r="I350" s="73" t="n">
        <x:f>MIN(Control!$B$6,MAX(1,INT(MAX(0,G350)/Control!$B$7)+1))</x:f>
        <x:v>2</x:v>
      </x:c>
      <x:c r="J350" s="73" t="n">
        <x:f>INDEX(Drivers!$H$8:$H$13,B350)</x:f>
        <x:v>1</x:v>
      </x:c>
      <x:c r="K350" s="73" t="n">
        <x:f>IF(J350=1,INDEX(TrackMap!$I$8:$I$141,H350),INDEX(TrackMap!$L$8:$L$141,H350))</x:f>
        <x:v>1634</x:v>
      </x:c>
      <x:c r="L350" s="73" t="str">
        <x:f>INDEX(TrackMap!$F$8:$F$141,H350)</x:f>
        <x:v>→</x:v>
      </x:c>
      <x:c r="M350" s="87" t="n">
        <x:f>MAX(0,G350/Control!$B$17)</x:f>
        <x:v>0.29225307833149367</x:v>
      </x:c>
      <x:c r="N350" s="73" t="n">
        <x:f>IF(N344&gt;0,N344,IF(G350&gt;=Control!$B$17,A350,0))</x:f>
        <x:v>0</x:v>
      </x:c>
      <x:c r="O350" s="91" t="n">
        <x:f>IF(N350&gt;0,Control!$B$17+Control!$B$8+1-N350,G350)-B350/100000</x:f>
        <x:v>195.80955248210077</x:v>
      </x:c>
      <x:c r="P350" s="73" t="n">
        <x:f>COUNTIF($O$350:$O$355,"&gt;"&amp;O350)+1</x:f>
        <x:v>3</x:v>
      </x:c>
      <x:c r="Q350" s="83" t="n">
        <x:f>MAX($G$350:$G$355)-G350</x:f>
        <x:v>1.1172038219800413</x:v>
      </x:c>
      <x:c r="R350" s="73" t="str">
        <x:f>INDEX(TrackMap!$B$8:$B$141,H350)</x:f>
        <x:v>中央高速直道</x:v>
      </x:c>
    </x:row>
    <x:row r="351" ht="20" customHeight="1">
      <x:c r="A351" s="73" t="n">
        <x:v>57</x:v>
      </x:c>
      <x:c r="B351" s="73" t="n">
        <x:v>2</x:v>
      </x:c>
      <x:c r="C351" s="73" t="str">
        <x:f>INDEX(Drivers!$B$8:$B$13,B351)</x:f>
        <x:v>蓝电</x:v>
      </x:c>
      <x:c r="D351" s="83" t="n">
        <x:f>G345</x:f>
        <x:v>193.67841907017115</x:v>
      </x:c>
      <x:c r="E351" s="83" t="str">
        <x:f>IF(A351=0,"GRID",IF(D351&gt;=Control!$B$17,"FINISHED",IF(AND(A351&gt;=INDEX(Drivers!$G$8:$G$13,B351),A351&lt;INDEX(Drivers!$G$8:$G$13,B351)+INDEX(Drivers!$J$8:$J$13,B351)),"PIT",IF(MOD(A351+INDEX(Drivers!$F$8:$F$13,B351),Control!$B$11)&lt;Control!$B$13,"BOOST","RACE"))))</x:f>
        <x:v>RACE</x:v>
      </x:c>
      <x:c r="F351" s="83" t="n">
        <x:f>IF(OR(E351="GRID",E351="FINISHED",E351="PIT"),0,MAX(Control!$B$15,(INDEX(Drivers!$D$8:$D$13,B351)+INDEX(Drivers!$E$8:$E$13,B351)*SIN((A351+INDEX(Drivers!$F$8:$F$13,B351)+Control!$B$16)*Control!$B$14))*INDEX(TrackMap!$M$8:$M$141,MOD(INT(D351)-1,Control!$B$7)+1)*IF(E351="BOOST",Control!$B$12,1)))</x:f>
        <x:v>3.248347233909683</x:v>
      </x:c>
      <x:c r="G351" s="83" t="n">
        <x:f>IF(A351=0,D351,MIN(Control!$B$17,D351+F351))</x:f>
        <x:v>196.92676630408081</x:v>
      </x:c>
      <x:c r="H351" s="73" t="n">
        <x:f>MOD(INT(G351)-1,Control!$B$7)+1</x:f>
        <x:v>62</x:v>
      </x:c>
      <x:c r="I351" s="73" t="n">
        <x:f>MIN(Control!$B$6,MAX(1,INT(MAX(0,G351)/Control!$B$7)+1))</x:f>
        <x:v>2</x:v>
      </x:c>
      <x:c r="J351" s="73" t="n">
        <x:f>INDEX(Drivers!$H$8:$H$13,B351)</x:f>
        <x:v>2</x:v>
      </x:c>
      <x:c r="K351" s="73" t="n">
        <x:f>IF(J351=1,INDEX(TrackMap!$I$8:$I$141,H351),INDEX(TrackMap!$L$8:$L$141,H351))</x:f>
        <x:v>1535</x:v>
      </x:c>
      <x:c r="L351" s="73" t="str">
        <x:f>INDEX(TrackMap!$F$8:$F$141,H351)</x:f>
        <x:v>→</x:v>
      </x:c>
      <x:c r="M351" s="87" t="n">
        <x:f>MAX(0,G351/Control!$B$17)</x:f>
        <x:v>0.29392054672250867</x:v>
      </x:c>
      <x:c r="N351" s="73" t="n">
        <x:f>IF(N345&gt;0,N345,IF(G351&gt;=Control!$B$17,A351,0))</x:f>
        <x:v>0</x:v>
      </x:c>
      <x:c r="O351" s="91" t="n">
        <x:f>IF(N351&gt;0,Control!$B$17+Control!$B$8+1-N351,G351)-B351/100000</x:f>
        <x:v>196.9267463040808</x:v>
      </x:c>
      <x:c r="P351" s="73" t="n">
        <x:f>COUNTIF($O$350:$O$355,"&gt;"&amp;O351)+1</x:f>
        <x:v>1</x:v>
      </x:c>
      <x:c r="Q351" s="83" t="n">
        <x:f>MAX($G$350:$G$355)-G351</x:f>
        <x:v>0</x:v>
      </x:c>
      <x:c r="R351" s="73" t="str">
        <x:f>INDEX(TrackMap!$B$8:$B$141,H351)</x:f>
        <x:v>中央高速直道</x:v>
      </x:c>
    </x:row>
    <x:row r="352" ht="20" customHeight="1">
      <x:c r="A352" s="73" t="n">
        <x:v>57</x:v>
      </x:c>
      <x:c r="B352" s="73" t="n">
        <x:v>3</x:v>
      </x:c>
      <x:c r="C352" s="73" t="str">
        <x:f>INDEX(Drivers!$B$8:$B$13,B352)</x:f>
        <x:v>金翼</x:v>
      </x:c>
      <x:c r="D352" s="83" t="n">
        <x:f>G346</x:f>
        <x:v>192.51297363429407</x:v>
      </x:c>
      <x:c r="E352" s="83" t="str">
        <x:f>IF(A352=0,"GRID",IF(D352&gt;=Control!$B$17,"FINISHED",IF(AND(A352&gt;=INDEX(Drivers!$G$8:$G$13,B352),A352&lt;INDEX(Drivers!$G$8:$G$13,B352)+INDEX(Drivers!$J$8:$J$13,B352)),"PIT",IF(MOD(A352+INDEX(Drivers!$F$8:$F$13,B352),Control!$B$11)&lt;Control!$B$13,"BOOST","RACE"))))</x:f>
        <x:v>RACE</x:v>
      </x:c>
      <x:c r="F352" s="83" t="n">
        <x:f>IF(OR(E352="GRID",E352="FINISHED",E352="PIT"),0,MAX(Control!$B$15,(INDEX(Drivers!$D$8:$D$13,B352)+INDEX(Drivers!$E$8:$E$13,B352)*SIN((A352+INDEX(Drivers!$F$8:$F$13,B352)+Control!$B$16)*Control!$B$14))*INDEX(TrackMap!$M$8:$M$141,MOD(INT(D352)-1,Control!$B$7)+1)*IF(E352="BOOST",Control!$B$12,1)))</x:f>
        <x:v>3.7170334356320307</x:v>
      </x:c>
      <x:c r="G352" s="83" t="n">
        <x:f>IF(A352=0,D352,MIN(Control!$B$17,D352+F352))</x:f>
        <x:v>196.2300070699261</x:v>
      </x:c>
      <x:c r="H352" s="73" t="n">
        <x:f>MOD(INT(G352)-1,Control!$B$7)+1</x:f>
        <x:v>62</x:v>
      </x:c>
      <x:c r="I352" s="73" t="n">
        <x:f>MIN(Control!$B$6,MAX(1,INT(MAX(0,G352)/Control!$B$7)+1))</x:f>
        <x:v>2</x:v>
      </x:c>
      <x:c r="J352" s="73" t="n">
        <x:f>INDEX(Drivers!$H$8:$H$13,B352)</x:f>
        <x:v>1</x:v>
      </x:c>
      <x:c r="K352" s="73" t="n">
        <x:f>IF(J352=1,INDEX(TrackMap!$I$8:$I$141,H352),INDEX(TrackMap!$L$8:$L$141,H352))</x:f>
        <x:v>1635</x:v>
      </x:c>
      <x:c r="L352" s="73" t="str">
        <x:f>INDEX(TrackMap!$F$8:$F$141,H352)</x:f>
        <x:v>→</x:v>
      </x:c>
      <x:c r="M352" s="87" t="n">
        <x:f>MAX(0,G352/Control!$B$17)</x:f>
        <x:v>0.29288060756705386</x:v>
      </x:c>
      <x:c r="N352" s="73" t="n">
        <x:f>IF(N346&gt;0,N346,IF(G352&gt;=Control!$B$17,A352,0))</x:f>
        <x:v>0</x:v>
      </x:c>
      <x:c r="O352" s="91" t="n">
        <x:f>IF(N352&gt;0,Control!$B$17+Control!$B$8+1-N352,G352)-B352/100000</x:f>
        <x:v>196.2299770699261</x:v>
      </x:c>
      <x:c r="P352" s="73" t="n">
        <x:f>COUNTIF($O$350:$O$355,"&gt;"&amp;O352)+1</x:f>
        <x:v>2</x:v>
      </x:c>
      <x:c r="Q352" s="83" t="n">
        <x:f>MAX($G$350:$G$355)-G352</x:f>
        <x:v>0.6967592341547117</x:v>
      </x:c>
      <x:c r="R352" s="73" t="str">
        <x:f>INDEX(TrackMap!$B$8:$B$141,H352)</x:f>
        <x:v>中央高速直道</x:v>
      </x:c>
    </x:row>
    <x:row r="353" ht="20" customHeight="1">
      <x:c r="A353" s="73" t="n">
        <x:v>57</x:v>
      </x:c>
      <x:c r="B353" s="73" t="n">
        <x:v>4</x:v>
      </x:c>
      <x:c r="C353" s="73" t="str">
        <x:f>INDEX(Drivers!$B$8:$B$13,B353)</x:f>
        <x:v>紫影</x:v>
      </x:c>
      <x:c r="D353" s="83" t="n">
        <x:f>G347</x:f>
        <x:v>190.97312929751862</x:v>
      </x:c>
      <x:c r="E353" s="83" t="str">
        <x:f>IF(A353=0,"GRID",IF(D353&gt;=Control!$B$17,"FINISHED",IF(AND(A353&gt;=INDEX(Drivers!$G$8:$G$13,B353),A353&lt;INDEX(Drivers!$G$8:$G$13,B353)+INDEX(Drivers!$J$8:$J$13,B353)),"PIT",IF(MOD(A353+INDEX(Drivers!$F$8:$F$13,B353),Control!$B$11)&lt;Control!$B$13,"BOOST","RACE"))))</x:f>
        <x:v>RACE</x:v>
      </x:c>
      <x:c r="F353" s="83" t="n">
        <x:f>IF(OR(E353="GRID",E353="FINISHED",E353="PIT"),0,MAX(Control!$B$15,(INDEX(Drivers!$D$8:$D$13,B353)+INDEX(Drivers!$E$8:$E$13,B353)*SIN((A353+INDEX(Drivers!$F$8:$F$13,B353)+Control!$B$16)*Control!$B$14))*INDEX(TrackMap!$M$8:$M$141,MOD(INT(D353)-1,Control!$B$7)+1)*IF(E353="BOOST",Control!$B$12,1)))</x:f>
        <x:v>3.886940915340552</x:v>
      </x:c>
      <x:c r="G353" s="83" t="n">
        <x:f>IF(A353=0,D353,MIN(Control!$B$17,D353+F353))</x:f>
        <x:v>194.86007021285917</x:v>
      </x:c>
      <x:c r="H353" s="73" t="n">
        <x:f>MOD(INT(G353)-1,Control!$B$7)+1</x:f>
        <x:v>60</x:v>
      </x:c>
      <x:c r="I353" s="73" t="n">
        <x:f>MIN(Control!$B$6,MAX(1,INT(MAX(0,G353)/Control!$B$7)+1))</x:f>
        <x:v>2</x:v>
      </x:c>
      <x:c r="J353" s="73" t="n">
        <x:f>INDEX(Drivers!$H$8:$H$13,B353)</x:f>
        <x:v>2</x:v>
      </x:c>
      <x:c r="K353" s="73" t="n">
        <x:f>IF(J353=1,INDEX(TrackMap!$I$8:$I$141,H353),INDEX(TrackMap!$L$8:$L$141,H353))</x:f>
        <x:v>1533</x:v>
      </x:c>
      <x:c r="L353" s="73" t="str">
        <x:f>INDEX(TrackMap!$F$8:$F$141,H353)</x:f>
        <x:v>→</x:v>
      </x:c>
      <x:c r="M353" s="87" t="n">
        <x:f>MAX(0,G353/Control!$B$17)</x:f>
        <x:v>0.2908359256908346</x:v>
      </x:c>
      <x:c r="N353" s="73" t="n">
        <x:f>IF(N347&gt;0,N347,IF(G353&gt;=Control!$B$17,A353,0))</x:f>
        <x:v>0</x:v>
      </x:c>
      <x:c r="O353" s="91" t="n">
        <x:f>IF(N353&gt;0,Control!$B$17+Control!$B$8+1-N353,G353)-B353/100000</x:f>
        <x:v>194.86003021285916</x:v>
      </x:c>
      <x:c r="P353" s="73" t="n">
        <x:f>COUNTIF($O$350:$O$355,"&gt;"&amp;O353)+1</x:f>
        <x:v>4</x:v>
      </x:c>
      <x:c r="Q353" s="83" t="n">
        <x:f>MAX($G$350:$G$355)-G353</x:f>
        <x:v>2.066696091221644</x:v>
      </x:c>
      <x:c r="R353" s="73" t="str">
        <x:f>INDEX(TrackMap!$B$8:$B$141,H353)</x:f>
        <x:v>中央高速直道</x:v>
      </x:c>
    </x:row>
    <x:row r="354" ht="20" customHeight="1">
      <x:c r="A354" s="73" t="n">
        <x:v>57</x:v>
      </x:c>
      <x:c r="B354" s="73" t="n">
        <x:v>5</x:v>
      </x:c>
      <x:c r="C354" s="73" t="str">
        <x:f>INDEX(Drivers!$B$8:$B$13,B354)</x:f>
        <x:v>青锋</x:v>
      </x:c>
      <x:c r="D354" s="83" t="n">
        <x:f>G348</x:f>
        <x:v>186.92091335017366</x:v>
      </x:c>
      <x:c r="E354" s="83" t="str">
        <x:f>IF(A354=0,"GRID",IF(D354&gt;=Control!$B$17,"FINISHED",IF(AND(A354&gt;=INDEX(Drivers!$G$8:$G$13,B354),A354&lt;INDEX(Drivers!$G$8:$G$13,B354)+INDEX(Drivers!$J$8:$J$13,B354)),"PIT",IF(MOD(A354+INDEX(Drivers!$F$8:$F$13,B354),Control!$B$11)&lt;Control!$B$13,"BOOST","RACE"))))</x:f>
        <x:v>BOOST</x:v>
      </x:c>
      <x:c r="F354" s="83" t="n">
        <x:f>IF(OR(E354="GRID",E354="FINISHED",E354="PIT"),0,MAX(Control!$B$15,(INDEX(Drivers!$D$8:$D$13,B354)+INDEX(Drivers!$E$8:$E$13,B354)*SIN((A354+INDEX(Drivers!$F$8:$F$13,B354)+Control!$B$16)*Control!$B$14))*INDEX(TrackMap!$M$8:$M$141,MOD(INT(D354)-1,Control!$B$7)+1)*IF(E354="BOOST",Control!$B$12,1)))</x:f>
        <x:v>5.2519468131245555</x:v>
      </x:c>
      <x:c r="G354" s="83" t="n">
        <x:f>IF(A354=0,D354,MIN(Control!$B$17,D354+F354))</x:f>
        <x:v>192.17286016329822</x:v>
      </x:c>
      <x:c r="H354" s="73" t="n">
        <x:f>MOD(INT(G354)-1,Control!$B$7)+1</x:f>
        <x:v>58</x:v>
      </x:c>
      <x:c r="I354" s="73" t="n">
        <x:f>MIN(Control!$B$6,MAX(1,INT(MAX(0,G354)/Control!$B$7)+1))</x:f>
        <x:v>2</x:v>
      </x:c>
      <x:c r="J354" s="73" t="n">
        <x:f>INDEX(Drivers!$H$8:$H$13,B354)</x:f>
        <x:v>1</x:v>
      </x:c>
      <x:c r="K354" s="73" t="n">
        <x:f>IF(J354=1,INDEX(TrackMap!$I$8:$I$141,H354),INDEX(TrackMap!$L$8:$L$141,H354))</x:f>
        <x:v>1631</x:v>
      </x:c>
      <x:c r="L354" s="73" t="str">
        <x:f>INDEX(TrackMap!$F$8:$F$141,H354)</x:f>
        <x:v>→</x:v>
      </x:c>
      <x:c r="M354" s="87" t="n">
        <x:f>MAX(0,G354/Control!$B$17)</x:f>
        <x:v>0.2868251644228332</x:v>
      </x:c>
      <x:c r="N354" s="73" t="n">
        <x:f>IF(N348&gt;0,N348,IF(G354&gt;=Control!$B$17,A354,0))</x:f>
        <x:v>0</x:v>
      </x:c>
      <x:c r="O354" s="91" t="n">
        <x:f>IF(N354&gt;0,Control!$B$17+Control!$B$8+1-N354,G354)-B354/100000</x:f>
        <x:v>192.17281016329824</x:v>
      </x:c>
      <x:c r="P354" s="73" t="n">
        <x:f>COUNTIF($O$350:$O$355,"&gt;"&amp;O354)+1</x:f>
        <x:v>5</x:v>
      </x:c>
      <x:c r="Q354" s="83" t="n">
        <x:f>MAX($G$350:$G$355)-G354</x:f>
        <x:v>4.75390614078259</x:v>
      </x:c>
      <x:c r="R354" s="73" t="str">
        <x:f>INDEX(TrackMap!$B$8:$B$141,H354)</x:f>
        <x:v>中央高速直道</x:v>
      </x:c>
    </x:row>
    <x:row r="355" ht="20" customHeight="1">
      <x:c r="A355" s="73" t="n">
        <x:v>57</x:v>
      </x:c>
      <x:c r="B355" s="73" t="n">
        <x:v>6</x:v>
      </x:c>
      <x:c r="C355" s="73" t="str">
        <x:f>INDEX(Drivers!$B$8:$B$13,B355)</x:f>
        <x:v>玫速</x:v>
      </x:c>
      <x:c r="D355" s="83" t="n">
        <x:f>G349</x:f>
        <x:v>187.36843336350097</x:v>
      </x:c>
      <x:c r="E355" s="83" t="str">
        <x:f>IF(A355=0,"GRID",IF(D355&gt;=Control!$B$17,"FINISHED",IF(AND(A355&gt;=INDEX(Drivers!$G$8:$G$13,B355),A355&lt;INDEX(Drivers!$G$8:$G$13,B355)+INDEX(Drivers!$J$8:$J$13,B355)),"PIT",IF(MOD(A355+INDEX(Drivers!$F$8:$F$13,B355),Control!$B$11)&lt;Control!$B$13,"BOOST","RACE"))))</x:f>
        <x:v>RACE</x:v>
      </x:c>
      <x:c r="F355" s="83" t="n">
        <x:f>IF(OR(E355="GRID",E355="FINISHED",E355="PIT"),0,MAX(Control!$B$15,(INDEX(Drivers!$D$8:$D$13,B355)+INDEX(Drivers!$E$8:$E$13,B355)*SIN((A355+INDEX(Drivers!$F$8:$F$13,B355)+Control!$B$16)*Control!$B$14))*INDEX(TrackMap!$M$8:$M$141,MOD(INT(D355)-1,Control!$B$7)+1)*IF(E355="BOOST",Control!$B$12,1)))</x:f>
        <x:v>3.1519816665070524</x:v>
      </x:c>
      <x:c r="G355" s="83" t="n">
        <x:f>IF(A355=0,D355,MIN(Control!$B$17,D355+F355))</x:f>
        <x:v>190.52041503000802</x:v>
      </x:c>
      <x:c r="H355" s="73" t="n">
        <x:f>MOD(INT(G355)-1,Control!$B$7)+1</x:f>
        <x:v>56</x:v>
      </x:c>
      <x:c r="I355" s="73" t="n">
        <x:f>MIN(Control!$B$6,MAX(1,INT(MAX(0,G355)/Control!$B$7)+1))</x:f>
        <x:v>2</x:v>
      </x:c>
      <x:c r="J355" s="73" t="n">
        <x:f>INDEX(Drivers!$H$8:$H$13,B355)</x:f>
        <x:v>2</x:v>
      </x:c>
      <x:c r="K355" s="73" t="n">
        <x:f>IF(J355=1,INDEX(TrackMap!$I$8:$I$141,H355),INDEX(TrackMap!$L$8:$L$141,H355))</x:f>
        <x:v>1529</x:v>
      </x:c>
      <x:c r="L355" s="73" t="str">
        <x:f>INDEX(TrackMap!$F$8:$F$141,H355)</x:f>
        <x:v>→</x:v>
      </x:c>
      <x:c r="M355" s="87" t="n">
        <x:f>MAX(0,G355/Control!$B$17)</x:f>
        <x:v>0.28435882840299703</x:v>
      </x:c>
      <x:c r="N355" s="73" t="n">
        <x:f>IF(N349&gt;0,N349,IF(G355&gt;=Control!$B$17,A355,0))</x:f>
        <x:v>0</x:v>
      </x:c>
      <x:c r="O355" s="91" t="n">
        <x:f>IF(N355&gt;0,Control!$B$17+Control!$B$8+1-N355,G355)-B355/100000</x:f>
        <x:v>190.52035503000803</x:v>
      </x:c>
      <x:c r="P355" s="73" t="n">
        <x:f>COUNTIF($O$350:$O$355,"&gt;"&amp;O355)+1</x:f>
        <x:v>6</x:v>
      </x:c>
      <x:c r="Q355" s="83" t="n">
        <x:f>MAX($G$350:$G$355)-G355</x:f>
        <x:v>6.40635127407279</x:v>
      </x:c>
      <x:c r="R355" s="73" t="str">
        <x:f>INDEX(TrackMap!$B$8:$B$141,H355)</x:f>
        <x:v>中央高速直道</x:v>
      </x:c>
    </x:row>
    <x:row r="356" ht="20" customHeight="1">
      <x:c r="A356" s="73" t="n">
        <x:v>58</x:v>
      </x:c>
      <x:c r="B356" s="73" t="n">
        <x:v>1</x:v>
      </x:c>
      <x:c r="C356" s="73" t="str">
        <x:f>INDEX(Drivers!$B$8:$B$13,B356)</x:f>
        <x:v>赤焰</x:v>
      </x:c>
      <x:c r="D356" s="83" t="n">
        <x:f>G350</x:f>
        <x:v>195.80956248210077</x:v>
      </x:c>
      <x:c r="E356" s="83" t="str">
        <x:f>IF(A356=0,"GRID",IF(D356&gt;=Control!$B$17,"FINISHED",IF(AND(A356&gt;=INDEX(Drivers!$G$8:$G$13,B356),A356&lt;INDEX(Drivers!$G$8:$G$13,B356)+INDEX(Drivers!$J$8:$J$13,B356)),"PIT",IF(MOD(A356+INDEX(Drivers!$F$8:$F$13,B356),Control!$B$11)&lt;Control!$B$13,"BOOST","RACE"))))</x:f>
        <x:v>RACE</x:v>
      </x:c>
      <x:c r="F356" s="83" t="n">
        <x:f>IF(OR(E356="GRID",E356="FINISHED",E356="PIT"),0,MAX(Control!$B$15,(INDEX(Drivers!$D$8:$D$13,B356)+INDEX(Drivers!$E$8:$E$13,B356)*SIN((A356+INDEX(Drivers!$F$8:$F$13,B356)+Control!$B$16)*Control!$B$14))*INDEX(TrackMap!$M$8:$M$141,MOD(INT(D356)-1,Control!$B$7)+1)*IF(E356="BOOST",Control!$B$12,1)))</x:f>
        <x:v>4.198890192670831</x:v>
      </x:c>
      <x:c r="G356" s="83" t="n">
        <x:f>IF(A356=0,D356,MIN(Control!$B$17,D356+F356))</x:f>
        <x:v>200.0084526747716</x:v>
      </x:c>
      <x:c r="H356" s="73" t="n">
        <x:f>MOD(INT(G356)-1,Control!$B$7)+1</x:f>
        <x:v>66</x:v>
      </x:c>
      <x:c r="I356" s="73" t="n">
        <x:f>MIN(Control!$B$6,MAX(1,INT(MAX(0,G356)/Control!$B$7)+1))</x:f>
        <x:v>2</x:v>
      </x:c>
      <x:c r="J356" s="73" t="n">
        <x:f>INDEX(Drivers!$H$8:$H$13,B356)</x:f>
        <x:v>1</x:v>
      </x:c>
      <x:c r="K356" s="73" t="n">
        <x:f>IF(J356=1,INDEX(TrackMap!$I$8:$I$141,H356),INDEX(TrackMap!$L$8:$L$141,H356))</x:f>
        <x:v>1639</x:v>
      </x:c>
      <x:c r="L356" s="73" t="str">
        <x:f>INDEX(TrackMap!$F$8:$F$141,H356)</x:f>
        <x:v>→</x:v>
      </x:c>
      <x:c r="M356" s="87" t="n">
        <x:f>MAX(0,G356/Control!$B$17)</x:f>
        <x:v>0.2985200786190621</x:v>
      </x:c>
      <x:c r="N356" s="73" t="n">
        <x:f>IF(N350&gt;0,N350,IF(G356&gt;=Control!$B$17,A356,0))</x:f>
        <x:v>0</x:v>
      </x:c>
      <x:c r="O356" s="91" t="n">
        <x:f>IF(N356&gt;0,Control!$B$17+Control!$B$8+1-N356,G356)-B356/100000</x:f>
        <x:v>200.0084426747716</x:v>
      </x:c>
      <x:c r="P356" s="73" t="n">
        <x:f>COUNTIF($O$356:$O$361,"&gt;"&amp;O356)+1</x:f>
        <x:v>3</x:v>
      </x:c>
      <x:c r="Q356" s="83" t="n">
        <x:f>MAX($G$356:$G$361)-G356</x:f>
        <x:v>0.11813790015520453</x:v>
      </x:c>
      <x:c r="R356" s="73" t="str">
        <x:f>INDEX(TrackMap!$B$8:$B$141,H356)</x:f>
        <x:v>中央高速直道</x:v>
      </x:c>
    </x:row>
    <x:row r="357" ht="20" customHeight="1">
      <x:c r="A357" s="73" t="n">
        <x:v>58</x:v>
      </x:c>
      <x:c r="B357" s="73" t="n">
        <x:v>2</x:v>
      </x:c>
      <x:c r="C357" s="73" t="str">
        <x:f>INDEX(Drivers!$B$8:$B$13,B357)</x:f>
        <x:v>蓝电</x:v>
      </x:c>
      <x:c r="D357" s="83" t="n">
        <x:f>G351</x:f>
        <x:v>196.92676630408081</x:v>
      </x:c>
      <x:c r="E357" s="83" t="str">
        <x:f>IF(A357=0,"GRID",IF(D357&gt;=Control!$B$17,"FINISHED",IF(AND(A357&gt;=INDEX(Drivers!$G$8:$G$13,B357),A357&lt;INDEX(Drivers!$G$8:$G$13,B357)+INDEX(Drivers!$J$8:$J$13,B357)),"PIT",IF(MOD(A357+INDEX(Drivers!$F$8:$F$13,B357),Control!$B$11)&lt;Control!$B$13,"BOOST","RACE"))))</x:f>
        <x:v>RACE</x:v>
      </x:c>
      <x:c r="F357" s="83" t="n">
        <x:f>IF(OR(E357="GRID",E357="FINISHED",E357="PIT"),0,MAX(Control!$B$15,(INDEX(Drivers!$D$8:$D$13,B357)+INDEX(Drivers!$E$8:$E$13,B357)*SIN((A357+INDEX(Drivers!$F$8:$F$13,B357)+Control!$B$16)*Control!$B$14))*INDEX(TrackMap!$M$8:$M$141,MOD(INT(D357)-1,Control!$B$7)+1)*IF(E357="BOOST",Control!$B$12,1)))</x:f>
        <x:v>3.089981011164758</x:v>
      </x:c>
      <x:c r="G357" s="83" t="n">
        <x:f>IF(A357=0,D357,MIN(Control!$B$17,D357+F357))</x:f>
        <x:v>200.01674731524557</x:v>
      </x:c>
      <x:c r="H357" s="73" t="n">
        <x:f>MOD(INT(G357)-1,Control!$B$7)+1</x:f>
        <x:v>66</x:v>
      </x:c>
      <x:c r="I357" s="73" t="n">
        <x:f>MIN(Control!$B$6,MAX(1,INT(MAX(0,G357)/Control!$B$7)+1))</x:f>
        <x:v>2</x:v>
      </x:c>
      <x:c r="J357" s="73" t="n">
        <x:f>INDEX(Drivers!$H$8:$H$13,B357)</x:f>
        <x:v>2</x:v>
      </x:c>
      <x:c r="K357" s="73" t="n">
        <x:f>IF(J357=1,INDEX(TrackMap!$I$8:$I$141,H357),INDEX(TrackMap!$L$8:$L$141,H357))</x:f>
        <x:v>1539</x:v>
      </x:c>
      <x:c r="L357" s="73" t="str">
        <x:f>INDEX(TrackMap!$F$8:$F$141,H357)</x:f>
        <x:v>→</x:v>
      </x:c>
      <x:c r="M357" s="87" t="n">
        <x:f>MAX(0,G357/Control!$B$17)</x:f>
        <x:v>0.298532458679471</x:v>
      </x:c>
      <x:c r="N357" s="73" t="n">
        <x:f>IF(N351&gt;0,N351,IF(G357&gt;=Control!$B$17,A357,0))</x:f>
        <x:v>0</x:v>
      </x:c>
      <x:c r="O357" s="91" t="n">
        <x:f>IF(N357&gt;0,Control!$B$17+Control!$B$8+1-N357,G357)-B357/100000</x:f>
        <x:v>200.01672731524556</x:v>
      </x:c>
      <x:c r="P357" s="73" t="n">
        <x:f>COUNTIF($O$356:$O$361,"&gt;"&amp;O357)+1</x:f>
        <x:v>2</x:v>
      </x:c>
      <x:c r="Q357" s="83" t="n">
        <x:f>MAX($G$356:$G$361)-G357</x:f>
        <x:v>0.10984325968124153</x:v>
      </x:c>
      <x:c r="R357" s="73" t="str">
        <x:f>INDEX(TrackMap!$B$8:$B$141,H357)</x:f>
        <x:v>中央高速直道</x:v>
      </x:c>
    </x:row>
    <x:row r="358" ht="20" customHeight="1">
      <x:c r="A358" s="73" t="n">
        <x:v>58</x:v>
      </x:c>
      <x:c r="B358" s="73" t="n">
        <x:v>3</x:v>
      </x:c>
      <x:c r="C358" s="73" t="str">
        <x:f>INDEX(Drivers!$B$8:$B$13,B358)</x:f>
        <x:v>金翼</x:v>
      </x:c>
      <x:c r="D358" s="83" t="n">
        <x:f>G352</x:f>
        <x:v>196.2300070699261</x:v>
      </x:c>
      <x:c r="E358" s="83" t="str">
        <x:f>IF(A358=0,"GRID",IF(D358&gt;=Control!$B$17,"FINISHED",IF(AND(A358&gt;=INDEX(Drivers!$G$8:$G$13,B358),A358&lt;INDEX(Drivers!$G$8:$G$13,B358)+INDEX(Drivers!$J$8:$J$13,B358)),"PIT",IF(MOD(A358+INDEX(Drivers!$F$8:$F$13,B358),Control!$B$11)&lt;Control!$B$13,"BOOST","RACE"))))</x:f>
        <x:v>RACE</x:v>
      </x:c>
      <x:c r="F358" s="83" t="n">
        <x:f>IF(OR(E358="GRID",E358="FINISHED",E358="PIT"),0,MAX(Control!$B$15,(INDEX(Drivers!$D$8:$D$13,B358)+INDEX(Drivers!$E$8:$E$13,B358)*SIN((A358+INDEX(Drivers!$F$8:$F$13,B358)+Control!$B$16)*Control!$B$14))*INDEX(TrackMap!$M$8:$M$141,MOD(INT(D358)-1,Control!$B$7)+1)*IF(E358="BOOST",Control!$B$12,1)))</x:f>
        <x:v>3.896583505000693</x:v>
      </x:c>
      <x:c r="G358" s="83" t="n">
        <x:f>IF(A358=0,D358,MIN(Control!$B$17,D358+F358))</x:f>
        <x:v>200.1265905749268</x:v>
      </x:c>
      <x:c r="H358" s="73" t="n">
        <x:f>MOD(INT(G358)-1,Control!$B$7)+1</x:f>
        <x:v>66</x:v>
      </x:c>
      <x:c r="I358" s="73" t="n">
        <x:f>MIN(Control!$B$6,MAX(1,INT(MAX(0,G358)/Control!$B$7)+1))</x:f>
        <x:v>2</x:v>
      </x:c>
      <x:c r="J358" s="73" t="n">
        <x:f>INDEX(Drivers!$H$8:$H$13,B358)</x:f>
        <x:v>1</x:v>
      </x:c>
      <x:c r="K358" s="73" t="n">
        <x:f>IF(J358=1,INDEX(TrackMap!$I$8:$I$141,H358),INDEX(TrackMap!$L$8:$L$141,H358))</x:f>
        <x:v>1639</x:v>
      </x:c>
      <x:c r="L358" s="73" t="str">
        <x:f>INDEX(TrackMap!$F$8:$F$141,H358)</x:f>
        <x:v>→</x:v>
      </x:c>
      <x:c r="M358" s="87" t="n">
        <x:f>MAX(0,G358/Control!$B$17)</x:f>
        <x:v>0.29869640384317436</x:v>
      </x:c>
      <x:c r="N358" s="73" t="n">
        <x:f>IF(N352&gt;0,N352,IF(G358&gt;=Control!$B$17,A358,0))</x:f>
        <x:v>0</x:v>
      </x:c>
      <x:c r="O358" s="91" t="n">
        <x:f>IF(N358&gt;0,Control!$B$17+Control!$B$8+1-N358,G358)-B358/100000</x:f>
        <x:v>200.1265605749268</x:v>
      </x:c>
      <x:c r="P358" s="73" t="n">
        <x:f>COUNTIF($O$356:$O$361,"&gt;"&amp;O358)+1</x:f>
        <x:v>1</x:v>
      </x:c>
      <x:c r="Q358" s="83" t="n">
        <x:f>MAX($G$356:$G$361)-G358</x:f>
        <x:v>0</x:v>
      </x:c>
      <x:c r="R358" s="73" t="str">
        <x:f>INDEX(TrackMap!$B$8:$B$141,H358)</x:f>
        <x:v>中央高速直道</x:v>
      </x:c>
    </x:row>
    <x:row r="359" ht="20" customHeight="1">
      <x:c r="A359" s="73" t="n">
        <x:v>58</x:v>
      </x:c>
      <x:c r="B359" s="73" t="n">
        <x:v>4</x:v>
      </x:c>
      <x:c r="C359" s="73" t="str">
        <x:f>INDEX(Drivers!$B$8:$B$13,B359)</x:f>
        <x:v>紫影</x:v>
      </x:c>
      <x:c r="D359" s="83" t="n">
        <x:f>G353</x:f>
        <x:v>194.86007021285917</x:v>
      </x:c>
      <x:c r="E359" s="83" t="str">
        <x:f>IF(A359=0,"GRID",IF(D359&gt;=Control!$B$17,"FINISHED",IF(AND(A359&gt;=INDEX(Drivers!$G$8:$G$13,B359),A359&lt;INDEX(Drivers!$G$8:$G$13,B359)+INDEX(Drivers!$J$8:$J$13,B359)),"PIT",IF(MOD(A359+INDEX(Drivers!$F$8:$F$13,B359),Control!$B$11)&lt;Control!$B$13,"BOOST","RACE"))))</x:f>
        <x:v>RACE</x:v>
      </x:c>
      <x:c r="F359" s="83" t="n">
        <x:f>IF(OR(E359="GRID",E359="FINISHED",E359="PIT"),0,MAX(Control!$B$15,(INDEX(Drivers!$D$8:$D$13,B359)+INDEX(Drivers!$E$8:$E$13,B359)*SIN((A359+INDEX(Drivers!$F$8:$F$13,B359)+Control!$B$16)*Control!$B$14))*INDEX(TrackMap!$M$8:$M$141,MOD(INT(D359)-1,Control!$B$7)+1)*IF(E359="BOOST",Control!$B$12,1)))</x:f>
        <x:v>3.685251138442723</x:v>
      </x:c>
      <x:c r="G359" s="83" t="n">
        <x:f>IF(A359=0,D359,MIN(Control!$B$17,D359+F359))</x:f>
        <x:v>198.54532135130188</x:v>
      </x:c>
      <x:c r="H359" s="73" t="n">
        <x:f>MOD(INT(G359)-1,Control!$B$7)+1</x:f>
        <x:v>64</x:v>
      </x:c>
      <x:c r="I359" s="73" t="n">
        <x:f>MIN(Control!$B$6,MAX(1,INT(MAX(0,G359)/Control!$B$7)+1))</x:f>
        <x:v>2</x:v>
      </x:c>
      <x:c r="J359" s="73" t="n">
        <x:f>INDEX(Drivers!$H$8:$H$13,B359)</x:f>
        <x:v>2</x:v>
      </x:c>
      <x:c r="K359" s="73" t="n">
        <x:f>IF(J359=1,INDEX(TrackMap!$I$8:$I$141,H359),INDEX(TrackMap!$L$8:$L$141,H359))</x:f>
        <x:v>1537</x:v>
      </x:c>
      <x:c r="L359" s="73" t="str">
        <x:f>INDEX(TrackMap!$F$8:$F$141,H359)</x:f>
        <x:v>→</x:v>
      </x:c>
      <x:c r="M359" s="87" t="n">
        <x:f>MAX(0,G359/Control!$B$17)</x:f>
        <x:v>0.2963363005243312</x:v>
      </x:c>
      <x:c r="N359" s="73" t="n">
        <x:f>IF(N353&gt;0,N353,IF(G359&gt;=Control!$B$17,A359,0))</x:f>
        <x:v>0</x:v>
      </x:c>
      <x:c r="O359" s="91" t="n">
        <x:f>IF(N359&gt;0,Control!$B$17+Control!$B$8+1-N359,G359)-B359/100000</x:f>
        <x:v>198.54528135130187</x:v>
      </x:c>
      <x:c r="P359" s="73" t="n">
        <x:f>COUNTIF($O$356:$O$361,"&gt;"&amp;O359)+1</x:f>
        <x:v>4</x:v>
      </x:c>
      <x:c r="Q359" s="83" t="n">
        <x:f>MAX($G$356:$G$361)-G359</x:f>
        <x:v>1.581269223624929</x:v>
      </x:c>
      <x:c r="R359" s="73" t="str">
        <x:f>INDEX(TrackMap!$B$8:$B$141,H359)</x:f>
        <x:v>中央高速直道</x:v>
      </x:c>
    </x:row>
    <x:row r="360" ht="20" customHeight="1">
      <x:c r="A360" s="73" t="n">
        <x:v>58</x:v>
      </x:c>
      <x:c r="B360" s="73" t="n">
        <x:v>5</x:v>
      </x:c>
      <x:c r="C360" s="73" t="str">
        <x:f>INDEX(Drivers!$B$8:$B$13,B360)</x:f>
        <x:v>青锋</x:v>
      </x:c>
      <x:c r="D360" s="83" t="n">
        <x:f>G354</x:f>
        <x:v>192.17286016329822</x:v>
      </x:c>
      <x:c r="E360" s="83" t="str">
        <x:f>IF(A360=0,"GRID",IF(D360&gt;=Control!$B$17,"FINISHED",IF(AND(A360&gt;=INDEX(Drivers!$G$8:$G$13,B360),A360&lt;INDEX(Drivers!$G$8:$G$13,B360)+INDEX(Drivers!$J$8:$J$13,B360)),"PIT",IF(MOD(A360+INDEX(Drivers!$F$8:$F$13,B360),Control!$B$11)&lt;Control!$B$13,"BOOST","RACE"))))</x:f>
        <x:v>BOOST</x:v>
      </x:c>
      <x:c r="F360" s="83" t="n">
        <x:f>IF(OR(E360="GRID",E360="FINISHED",E360="PIT"),0,MAX(Control!$B$15,(INDEX(Drivers!$D$8:$D$13,B360)+INDEX(Drivers!$E$8:$E$13,B360)*SIN((A360+INDEX(Drivers!$F$8:$F$13,B360)+Control!$B$16)*Control!$B$14))*INDEX(TrackMap!$M$8:$M$141,MOD(INT(D360)-1,Control!$B$7)+1)*IF(E360="BOOST",Control!$B$12,1)))</x:f>
        <x:v>5.0084127970566925</x:v>
      </x:c>
      <x:c r="G360" s="83" t="n">
        <x:f>IF(A360=0,D360,MIN(Control!$B$17,D360+F360))</x:f>
        <x:v>197.18127296035493</x:v>
      </x:c>
      <x:c r="H360" s="73" t="n">
        <x:f>MOD(INT(G360)-1,Control!$B$7)+1</x:f>
        <x:v>63</x:v>
      </x:c>
      <x:c r="I360" s="73" t="n">
        <x:f>MIN(Control!$B$6,MAX(1,INT(MAX(0,G360)/Control!$B$7)+1))</x:f>
        <x:v>2</x:v>
      </x:c>
      <x:c r="J360" s="73" t="n">
        <x:f>INDEX(Drivers!$H$8:$H$13,B360)</x:f>
        <x:v>1</x:v>
      </x:c>
      <x:c r="K360" s="73" t="n">
        <x:f>IF(J360=1,INDEX(TrackMap!$I$8:$I$141,H360),INDEX(TrackMap!$L$8:$L$141,H360))</x:f>
        <x:v>1636</x:v>
      </x:c>
      <x:c r="L360" s="73" t="str">
        <x:f>INDEX(TrackMap!$F$8:$F$141,H360)</x:f>
        <x:v>→</x:v>
      </x:c>
      <x:c r="M360" s="87" t="n">
        <x:f>MAX(0,G360/Control!$B$17)</x:f>
        <x:v>0.2943004074035148</x:v>
      </x:c>
      <x:c r="N360" s="73" t="n">
        <x:f>IF(N354&gt;0,N354,IF(G360&gt;=Control!$B$17,A360,0))</x:f>
        <x:v>0</x:v>
      </x:c>
      <x:c r="O360" s="91" t="n">
        <x:f>IF(N360&gt;0,Control!$B$17+Control!$B$8+1-N360,G360)-B360/100000</x:f>
        <x:v>197.18122296035494</x:v>
      </x:c>
      <x:c r="P360" s="73" t="n">
        <x:f>COUNTIF($O$356:$O$361,"&gt;"&amp;O360)+1</x:f>
        <x:v>5</x:v>
      </x:c>
      <x:c r="Q360" s="83" t="n">
        <x:f>MAX($G$356:$G$361)-G360</x:f>
        <x:v>2.945317614571877</x:v>
      </x:c>
      <x:c r="R360" s="73" t="str">
        <x:f>INDEX(TrackMap!$B$8:$B$141,H360)</x:f>
        <x:v>中央高速直道</x:v>
      </x:c>
    </x:row>
    <x:row r="361" ht="20" customHeight="1">
      <x:c r="A361" s="73" t="n">
        <x:v>58</x:v>
      </x:c>
      <x:c r="B361" s="73" t="n">
        <x:v>6</x:v>
      </x:c>
      <x:c r="C361" s="73" t="str">
        <x:f>INDEX(Drivers!$B$8:$B$13,B361)</x:f>
        <x:v>玫速</x:v>
      </x:c>
      <x:c r="D361" s="83" t="n">
        <x:f>G355</x:f>
        <x:v>190.52041503000802</x:v>
      </x:c>
      <x:c r="E361" s="83" t="str">
        <x:f>IF(A361=0,"GRID",IF(D361&gt;=Control!$B$17,"FINISHED",IF(AND(A361&gt;=INDEX(Drivers!$G$8:$G$13,B361),A361&lt;INDEX(Drivers!$G$8:$G$13,B361)+INDEX(Drivers!$J$8:$J$13,B361)),"PIT",IF(MOD(A361+INDEX(Drivers!$F$8:$F$13,B361),Control!$B$11)&lt;Control!$B$13,"BOOST","RACE"))))</x:f>
        <x:v>RACE</x:v>
      </x:c>
      <x:c r="F361" s="83" t="n">
        <x:f>IF(OR(E361="GRID",E361="FINISHED",E361="PIT"),0,MAX(Control!$B$15,(INDEX(Drivers!$D$8:$D$13,B361)+INDEX(Drivers!$E$8:$E$13,B361)*SIN((A361+INDEX(Drivers!$F$8:$F$13,B361)+Control!$B$16)*Control!$B$14))*INDEX(TrackMap!$M$8:$M$141,MOD(INT(D361)-1,Control!$B$7)+1)*IF(E361="BOOST",Control!$B$12,1)))</x:f>
        <x:v>3.290756472968452</x:v>
      </x:c>
      <x:c r="G361" s="83" t="n">
        <x:f>IF(A361=0,D361,MIN(Control!$B$17,D361+F361))</x:f>
        <x:v>193.81117150297646</x:v>
      </x:c>
      <x:c r="H361" s="73" t="n">
        <x:f>MOD(INT(G361)-1,Control!$B$7)+1</x:f>
        <x:v>59</x:v>
      </x:c>
      <x:c r="I361" s="73" t="n">
        <x:f>MIN(Control!$B$6,MAX(1,INT(MAX(0,G361)/Control!$B$7)+1))</x:f>
        <x:v>2</x:v>
      </x:c>
      <x:c r="J361" s="73" t="n">
        <x:f>INDEX(Drivers!$H$8:$H$13,B361)</x:f>
        <x:v>2</x:v>
      </x:c>
      <x:c r="K361" s="73" t="n">
        <x:f>IF(J361=1,INDEX(TrackMap!$I$8:$I$141,H361),INDEX(TrackMap!$L$8:$L$141,H361))</x:f>
        <x:v>1532</x:v>
      </x:c>
      <x:c r="L361" s="73" t="str">
        <x:f>INDEX(TrackMap!$F$8:$F$141,H361)</x:f>
        <x:v>→</x:v>
      </x:c>
      <x:c r="M361" s="87" t="n">
        <x:f>MAX(0,G361/Control!$B$17)</x:f>
        <x:v>0.2892704052283231</x:v>
      </x:c>
      <x:c r="N361" s="73" t="n">
        <x:f>IF(N355&gt;0,N355,IF(G361&gt;=Control!$B$17,A361,0))</x:f>
        <x:v>0</x:v>
      </x:c>
      <x:c r="O361" s="91" t="n">
        <x:f>IF(N361&gt;0,Control!$B$17+Control!$B$8+1-N361,G361)-B361/100000</x:f>
        <x:v>193.81111150297647</x:v>
      </x:c>
      <x:c r="P361" s="73" t="n">
        <x:f>COUNTIF($O$356:$O$361,"&gt;"&amp;O361)+1</x:f>
        <x:v>6</x:v>
      </x:c>
      <x:c r="Q361" s="83" t="n">
        <x:f>MAX($G$356:$G$361)-G361</x:f>
        <x:v>6.315419071950345</x:v>
      </x:c>
      <x:c r="R361" s="73" t="str">
        <x:f>INDEX(TrackMap!$B$8:$B$141,H361)</x:f>
        <x:v>中央高速直道</x:v>
      </x:c>
    </x:row>
    <x:row r="362" ht="20" customHeight="1">
      <x:c r="A362" s="73" t="n">
        <x:v>59</x:v>
      </x:c>
      <x:c r="B362" s="73" t="n">
        <x:v>1</x:v>
      </x:c>
      <x:c r="C362" s="73" t="str">
        <x:f>INDEX(Drivers!$B$8:$B$13,B362)</x:f>
        <x:v>赤焰</x:v>
      </x:c>
      <x:c r="D362" s="83" t="n">
        <x:f>G356</x:f>
        <x:v>200.0084526747716</x:v>
      </x:c>
      <x:c r="E362" s="83" t="str">
        <x:f>IF(A362=0,"GRID",IF(D362&gt;=Control!$B$17,"FINISHED",IF(AND(A362&gt;=INDEX(Drivers!$G$8:$G$13,B362),A362&lt;INDEX(Drivers!$G$8:$G$13,B362)+INDEX(Drivers!$J$8:$J$13,B362)),"PIT",IF(MOD(A362+INDEX(Drivers!$F$8:$F$13,B362),Control!$B$11)&lt;Control!$B$13,"BOOST","RACE"))))</x:f>
        <x:v>BOOST</x:v>
      </x:c>
      <x:c r="F362" s="83" t="n">
        <x:f>IF(OR(E362="GRID",E362="FINISHED",E362="PIT"),0,MAX(Control!$B$15,(INDEX(Drivers!$D$8:$D$13,B362)+INDEX(Drivers!$E$8:$E$13,B362)*SIN((A362+INDEX(Drivers!$F$8:$F$13,B362)+Control!$B$16)*Control!$B$14))*INDEX(TrackMap!$M$8:$M$141,MOD(INT(D362)-1,Control!$B$7)+1)*IF(E362="BOOST",Control!$B$12,1)))</x:f>
        <x:v>5.6354045271770286</x:v>
      </x:c>
      <x:c r="G362" s="83" t="n">
        <x:f>IF(A362=0,D362,MIN(Control!$B$17,D362+F362))</x:f>
        <x:v>205.64385720194863</x:v>
      </x:c>
      <x:c r="H362" s="73" t="n">
        <x:f>MOD(INT(G362)-1,Control!$B$7)+1</x:f>
        <x:v>71</x:v>
      </x:c>
      <x:c r="I362" s="73" t="n">
        <x:f>MIN(Control!$B$6,MAX(1,INT(MAX(0,G362)/Control!$B$7)+1))</x:f>
        <x:v>2</x:v>
      </x:c>
      <x:c r="J362" s="73" t="n">
        <x:f>INDEX(Drivers!$H$8:$H$13,B362)</x:f>
        <x:v>1</x:v>
      </x:c>
      <x:c r="K362" s="73" t="n">
        <x:f>IF(J362=1,INDEX(TrackMap!$I$8:$I$141,H362),INDEX(TrackMap!$L$8:$L$141,H362))</x:f>
        <x:v>1644</x:v>
      </x:c>
      <x:c r="L362" s="73" t="str">
        <x:f>INDEX(TrackMap!$F$8:$F$141,H362)</x:f>
        <x:v>→</x:v>
      </x:c>
      <x:c r="M362" s="87" t="n">
        <x:f>MAX(0,G362/Control!$B$17)</x:f>
        <x:v>0.30693113015216217</x:v>
      </x:c>
      <x:c r="N362" s="73" t="n">
        <x:f>IF(N356&gt;0,N356,IF(G362&gt;=Control!$B$17,A362,0))</x:f>
        <x:v>0</x:v>
      </x:c>
      <x:c r="O362" s="91" t="n">
        <x:f>IF(N362&gt;0,Control!$B$17+Control!$B$8+1-N362,G362)-B362/100000</x:f>
        <x:v>205.64384720194863</x:v>
      </x:c>
      <x:c r="P362" s="73" t="n">
        <x:f>COUNTIF($O$362:$O$367,"&gt;"&amp;O362)+1</x:f>
        <x:v>1</x:v>
      </x:c>
      <x:c r="Q362" s="83" t="n">
        <x:f>MAX($G$362:$G$367)-G362</x:f>
        <x:v>0</x:v>
      </x:c>
      <x:c r="R362" s="73" t="str">
        <x:f>INDEX(TrackMap!$B$8:$B$141,H362)</x:f>
        <x:v>中央高速直道</x:v>
      </x:c>
    </x:row>
    <x:row r="363" ht="20" customHeight="1">
      <x:c r="A363" s="73" t="n">
        <x:v>59</x:v>
      </x:c>
      <x:c r="B363" s="73" t="n">
        <x:v>2</x:v>
      </x:c>
      <x:c r="C363" s="73" t="str">
        <x:f>INDEX(Drivers!$B$8:$B$13,B363)</x:f>
        <x:v>蓝电</x:v>
      </x:c>
      <x:c r="D363" s="83" t="n">
        <x:f>G357</x:f>
        <x:v>200.01674731524557</x:v>
      </x:c>
      <x:c r="E363" s="83" t="str">
        <x:f>IF(A363=0,"GRID",IF(D363&gt;=Control!$B$17,"FINISHED",IF(AND(A363&gt;=INDEX(Drivers!$G$8:$G$13,B363),A363&lt;INDEX(Drivers!$G$8:$G$13,B363)+INDEX(Drivers!$J$8:$J$13,B363)),"PIT",IF(MOD(A363+INDEX(Drivers!$F$8:$F$13,B363),Control!$B$11)&lt;Control!$B$13,"BOOST","RACE"))))</x:f>
        <x:v>RACE</x:v>
      </x:c>
      <x:c r="F363" s="83" t="n">
        <x:f>IF(OR(E363="GRID",E363="FINISHED",E363="PIT"),0,MAX(Control!$B$15,(INDEX(Drivers!$D$8:$D$13,B363)+INDEX(Drivers!$E$8:$E$13,B363)*SIN((A363+INDEX(Drivers!$F$8:$F$13,B363)+Control!$B$16)*Control!$B$14))*INDEX(TrackMap!$M$8:$M$141,MOD(INT(D363)-1,Control!$B$7)+1)*IF(E363="BOOST",Control!$B$12,1)))</x:f>
        <x:v>2.997936559775689</x:v>
      </x:c>
      <x:c r="G363" s="83" t="n">
        <x:f>IF(A363=0,D363,MIN(Control!$B$17,D363+F363))</x:f>
        <x:v>203.01468387502126</x:v>
      </x:c>
      <x:c r="H363" s="73" t="n">
        <x:f>MOD(INT(G363)-1,Control!$B$7)+1</x:f>
        <x:v>69</x:v>
      </x:c>
      <x:c r="I363" s="73" t="n">
        <x:f>MIN(Control!$B$6,MAX(1,INT(MAX(0,G363)/Control!$B$7)+1))</x:f>
        <x:v>2</x:v>
      </x:c>
      <x:c r="J363" s="73" t="n">
        <x:f>INDEX(Drivers!$H$8:$H$13,B363)</x:f>
        <x:v>2</x:v>
      </x:c>
      <x:c r="K363" s="73" t="n">
        <x:f>IF(J363=1,INDEX(TrackMap!$I$8:$I$141,H363),INDEX(TrackMap!$L$8:$L$141,H363))</x:f>
        <x:v>1542</x:v>
      </x:c>
      <x:c r="L363" s="73" t="str">
        <x:f>INDEX(TrackMap!$F$8:$F$141,H363)</x:f>
        <x:v>→</x:v>
      </x:c>
      <x:c r="M363" s="87" t="n">
        <x:f>MAX(0,G363/Control!$B$17)</x:f>
        <x:v>0.3030069908582407</x:v>
      </x:c>
      <x:c r="N363" s="73" t="n">
        <x:f>IF(N357&gt;0,N357,IF(G363&gt;=Control!$B$17,A363,0))</x:f>
        <x:v>0</x:v>
      </x:c>
      <x:c r="O363" s="91" t="n">
        <x:f>IF(N363&gt;0,Control!$B$17+Control!$B$8+1-N363,G363)-B363/100000</x:f>
        <x:v>203.01466387502126</x:v>
      </x:c>
      <x:c r="P363" s="73" t="n">
        <x:f>COUNTIF($O$362:$O$367,"&gt;"&amp;O363)+1</x:f>
        <x:v>3</x:v>
      </x:c>
      <x:c r="Q363" s="83" t="n">
        <x:f>MAX($G$362:$G$367)-G363</x:f>
        <x:v>2.629173326927372</x:v>
      </x:c>
      <x:c r="R363" s="73" t="str">
        <x:f>INDEX(TrackMap!$B$8:$B$141,H363)</x:f>
        <x:v>中央高速直道</x:v>
      </x:c>
    </x:row>
    <x:row r="364" ht="20" customHeight="1">
      <x:c r="A364" s="73" t="n">
        <x:v>59</x:v>
      </x:c>
      <x:c r="B364" s="73" t="n">
        <x:v>3</x:v>
      </x:c>
      <x:c r="C364" s="73" t="str">
        <x:f>INDEX(Drivers!$B$8:$B$13,B364)</x:f>
        <x:v>金翼</x:v>
      </x:c>
      <x:c r="D364" s="83" t="n">
        <x:f>G358</x:f>
        <x:v>200.1265905749268</x:v>
      </x:c>
      <x:c r="E364" s="83" t="str">
        <x:f>IF(A364=0,"GRID",IF(D364&gt;=Control!$B$17,"FINISHED",IF(AND(A364&gt;=INDEX(Drivers!$G$8:$G$13,B364),A364&lt;INDEX(Drivers!$G$8:$G$13,B364)+INDEX(Drivers!$J$8:$J$13,B364)),"PIT",IF(MOD(A364+INDEX(Drivers!$F$8:$F$13,B364),Control!$B$11)&lt;Control!$B$13,"BOOST","RACE"))))</x:f>
        <x:v>RACE</x:v>
      </x:c>
      <x:c r="F364" s="83" t="n">
        <x:f>IF(OR(E364="GRID",E364="FINISHED",E364="PIT"),0,MAX(Control!$B$15,(INDEX(Drivers!$D$8:$D$13,B364)+INDEX(Drivers!$E$8:$E$13,B364)*SIN((A364+INDEX(Drivers!$F$8:$F$13,B364)+Control!$B$16)*Control!$B$14))*INDEX(TrackMap!$M$8:$M$141,MOD(INT(D364)-1,Control!$B$7)+1)*IF(E364="BOOST",Control!$B$12,1)))</x:f>
        <x:v>4.049526919182421</x:v>
      </x:c>
      <x:c r="G364" s="83" t="n">
        <x:f>IF(A364=0,D364,MIN(Control!$B$17,D364+F364))</x:f>
        <x:v>204.17611749410923</x:v>
      </x:c>
      <x:c r="H364" s="73" t="n">
        <x:f>MOD(INT(G364)-1,Control!$B$7)+1</x:f>
        <x:v>70</x:v>
      </x:c>
      <x:c r="I364" s="73" t="n">
        <x:f>MIN(Control!$B$6,MAX(1,INT(MAX(0,G364)/Control!$B$7)+1))</x:f>
        <x:v>2</x:v>
      </x:c>
      <x:c r="J364" s="73" t="n">
        <x:f>INDEX(Drivers!$H$8:$H$13,B364)</x:f>
        <x:v>1</x:v>
      </x:c>
      <x:c r="K364" s="73" t="n">
        <x:f>IF(J364=1,INDEX(TrackMap!$I$8:$I$141,H364),INDEX(TrackMap!$L$8:$L$141,H364))</x:f>
        <x:v>1643</x:v>
      </x:c>
      <x:c r="L364" s="73" t="str">
        <x:f>INDEX(TrackMap!$F$8:$F$141,H364)</x:f>
        <x:v>→</x:v>
      </x:c>
      <x:c r="M364" s="87" t="n">
        <x:f>MAX(0,G364/Control!$B$17)</x:f>
        <x:v>0.3047404738718048</x:v>
      </x:c>
      <x:c r="N364" s="73" t="n">
        <x:f>IF(N358&gt;0,N358,IF(G364&gt;=Control!$B$17,A364,0))</x:f>
        <x:v>0</x:v>
      </x:c>
      <x:c r="O364" s="91" t="n">
        <x:f>IF(N364&gt;0,Control!$B$17+Control!$B$8+1-N364,G364)-B364/100000</x:f>
        <x:v>204.17608749410923</x:v>
      </x:c>
      <x:c r="P364" s="73" t="n">
        <x:f>COUNTIF($O$362:$O$367,"&gt;"&amp;O364)+1</x:f>
        <x:v>2</x:v>
      </x:c>
      <x:c r="Q364" s="83" t="n">
        <x:f>MAX($G$362:$G$367)-G364</x:f>
        <x:v>1.4677397078393994</x:v>
      </x:c>
      <x:c r="R364" s="73" t="str">
        <x:f>INDEX(TrackMap!$B$8:$B$141,H364)</x:f>
        <x:v>中央高速直道</x:v>
      </x:c>
    </x:row>
    <x:row r="365" ht="20" customHeight="1">
      <x:c r="A365" s="73" t="n">
        <x:v>59</x:v>
      </x:c>
      <x:c r="B365" s="73" t="n">
        <x:v>4</x:v>
      </x:c>
      <x:c r="C365" s="73" t="str">
        <x:f>INDEX(Drivers!$B$8:$B$13,B365)</x:f>
        <x:v>紫影</x:v>
      </x:c>
      <x:c r="D365" s="83" t="n">
        <x:f>G359</x:f>
        <x:v>198.54532135130188</x:v>
      </x:c>
      <x:c r="E365" s="83" t="str">
        <x:f>IF(A365=0,"GRID",IF(D365&gt;=Control!$B$17,"FINISHED",IF(AND(A365&gt;=INDEX(Drivers!$G$8:$G$13,B365),A365&lt;INDEX(Drivers!$G$8:$G$13,B365)+INDEX(Drivers!$J$8:$J$13,B365)),"PIT",IF(MOD(A365+INDEX(Drivers!$F$8:$F$13,B365),Control!$B$11)&lt;Control!$B$13,"BOOST","RACE"))))</x:f>
        <x:v>RACE</x:v>
      </x:c>
      <x:c r="F365" s="83" t="n">
        <x:f>IF(OR(E365="GRID",E365="FINISHED",E365="PIT"),0,MAX(Control!$B$15,(INDEX(Drivers!$D$8:$D$13,B365)+INDEX(Drivers!$E$8:$E$13,B365)*SIN((A365+INDEX(Drivers!$F$8:$F$13,B365)+Control!$B$16)*Control!$B$14))*INDEX(TrackMap!$M$8:$M$141,MOD(INT(D365)-1,Control!$B$7)+1)*IF(E365="BOOST",Control!$B$12,1)))</x:f>
        <x:v>3.4720230198878372</x:v>
      </x:c>
      <x:c r="G365" s="83" t="n">
        <x:f>IF(A365=0,D365,MIN(Control!$B$17,D365+F365))</x:f>
        <x:v>202.01734437118972</x:v>
      </x:c>
      <x:c r="H365" s="73" t="n">
        <x:f>MOD(INT(G365)-1,Control!$B$7)+1</x:f>
        <x:v>68</x:v>
      </x:c>
      <x:c r="I365" s="73" t="n">
        <x:f>MIN(Control!$B$6,MAX(1,INT(MAX(0,G365)/Control!$B$7)+1))</x:f>
        <x:v>2</x:v>
      </x:c>
      <x:c r="J365" s="73" t="n">
        <x:f>INDEX(Drivers!$H$8:$H$13,B365)</x:f>
        <x:v>2</x:v>
      </x:c>
      <x:c r="K365" s="73" t="n">
        <x:f>IF(J365=1,INDEX(TrackMap!$I$8:$I$141,H365),INDEX(TrackMap!$L$8:$L$141,H365))</x:f>
        <x:v>1541</x:v>
      </x:c>
      <x:c r="L365" s="73" t="str">
        <x:f>INDEX(TrackMap!$F$8:$F$141,H365)</x:f>
        <x:v>→</x:v>
      </x:c>
      <x:c r="M365" s="87" t="n">
        <x:f>MAX(0,G365/Control!$B$17)</x:f>
        <x:v>0.3015184244346115</x:v>
      </x:c>
      <x:c r="N365" s="73" t="n">
        <x:f>IF(N359&gt;0,N359,IF(G365&gt;=Control!$B$17,A365,0))</x:f>
        <x:v>0</x:v>
      </x:c>
      <x:c r="O365" s="91" t="n">
        <x:f>IF(N365&gt;0,Control!$B$17+Control!$B$8+1-N365,G365)-B365/100000</x:f>
        <x:v>202.0173043711897</x:v>
      </x:c>
      <x:c r="P365" s="73" t="n">
        <x:f>COUNTIF($O$362:$O$367,"&gt;"&amp;O365)+1</x:f>
        <x:v>4</x:v>
      </x:c>
      <x:c r="Q365" s="83" t="n">
        <x:f>MAX($G$362:$G$367)-G365</x:f>
        <x:v>3.6265128307589123</x:v>
      </x:c>
      <x:c r="R365" s="73" t="str">
        <x:f>INDEX(TrackMap!$B$8:$B$141,H365)</x:f>
        <x:v>中央高速直道</x:v>
      </x:c>
    </x:row>
    <x:row r="366" ht="20" customHeight="1">
      <x:c r="A366" s="73" t="n">
        <x:v>59</x:v>
      </x:c>
      <x:c r="B366" s="73" t="n">
        <x:v>5</x:v>
      </x:c>
      <x:c r="C366" s="73" t="str">
        <x:f>INDEX(Drivers!$B$8:$B$13,B366)</x:f>
        <x:v>青锋</x:v>
      </x:c>
      <x:c r="D366" s="83" t="n">
        <x:f>G360</x:f>
        <x:v>197.18127296035493</x:v>
      </x:c>
      <x:c r="E366" s="83" t="str">
        <x:f>IF(A366=0,"GRID",IF(D366&gt;=Control!$B$17,"FINISHED",IF(AND(A366&gt;=INDEX(Drivers!$G$8:$G$13,B366),A366&lt;INDEX(Drivers!$G$8:$G$13,B366)+INDEX(Drivers!$J$8:$J$13,B366)),"PIT",IF(MOD(A366+INDEX(Drivers!$F$8:$F$13,B366),Control!$B$11)&lt;Control!$B$13,"BOOST","RACE"))))</x:f>
        <x:v>BOOST</x:v>
      </x:c>
      <x:c r="F366" s="83" t="n">
        <x:f>IF(OR(E366="GRID",E366="FINISHED",E366="PIT"),0,MAX(Control!$B$15,(INDEX(Drivers!$D$8:$D$13,B366)+INDEX(Drivers!$E$8:$E$13,B366)*SIN((A366+INDEX(Drivers!$F$8:$F$13,B366)+Control!$B$16)*Control!$B$14))*INDEX(TrackMap!$M$8:$M$141,MOD(INT(D366)-1,Control!$B$7)+1)*IF(E366="BOOST",Control!$B$12,1)))</x:f>
        <x:v>4.750273290149025</x:v>
      </x:c>
      <x:c r="G366" s="83" t="n">
        <x:f>IF(A366=0,D366,MIN(Control!$B$17,D366+F366))</x:f>
        <x:v>201.93154625050397</x:v>
      </x:c>
      <x:c r="H366" s="73" t="n">
        <x:f>MOD(INT(G366)-1,Control!$B$7)+1</x:f>
        <x:v>67</x:v>
      </x:c>
      <x:c r="I366" s="73" t="n">
        <x:f>MIN(Control!$B$6,MAX(1,INT(MAX(0,G366)/Control!$B$7)+1))</x:f>
        <x:v>2</x:v>
      </x:c>
      <x:c r="J366" s="73" t="n">
        <x:f>INDEX(Drivers!$H$8:$H$13,B366)</x:f>
        <x:v>1</x:v>
      </x:c>
      <x:c r="K366" s="73" t="n">
        <x:f>IF(J366=1,INDEX(TrackMap!$I$8:$I$141,H366),INDEX(TrackMap!$L$8:$L$141,H366))</x:f>
        <x:v>1640</x:v>
      </x:c>
      <x:c r="L366" s="73" t="str">
        <x:f>INDEX(TrackMap!$F$8:$F$141,H366)</x:f>
        <x:v>→</x:v>
      </x:c>
      <x:c r="M366" s="87" t="n">
        <x:f>MAX(0,G366/Control!$B$17)</x:f>
        <x:v>0.30139036753806564</x:v>
      </x:c>
      <x:c r="N366" s="73" t="n">
        <x:f>IF(N360&gt;0,N360,IF(G366&gt;=Control!$B$17,A366,0))</x:f>
        <x:v>0</x:v>
      </x:c>
      <x:c r="O366" s="91" t="n">
        <x:f>IF(N366&gt;0,Control!$B$17+Control!$B$8+1-N366,G366)-B366/100000</x:f>
        <x:v>201.93149625050398</x:v>
      </x:c>
      <x:c r="P366" s="73" t="n">
        <x:f>COUNTIF($O$362:$O$367,"&gt;"&amp;O366)+1</x:f>
        <x:v>5</x:v>
      </x:c>
      <x:c r="Q366" s="83" t="n">
        <x:f>MAX($G$362:$G$367)-G366</x:f>
        <x:v>3.712310951444664</x:v>
      </x:c>
      <x:c r="R366" s="73" t="str">
        <x:f>INDEX(TrackMap!$B$8:$B$141,H366)</x:f>
        <x:v>中央高速直道</x:v>
      </x:c>
    </x:row>
    <x:row r="367" ht="20" customHeight="1">
      <x:c r="A367" s="73" t="n">
        <x:v>59</x:v>
      </x:c>
      <x:c r="B367" s="73" t="n">
        <x:v>6</x:v>
      </x:c>
      <x:c r="C367" s="73" t="str">
        <x:f>INDEX(Drivers!$B$8:$B$13,B367)</x:f>
        <x:v>玫速</x:v>
      </x:c>
      <x:c r="D367" s="83" t="n">
        <x:f>G361</x:f>
        <x:v>193.81117150297646</x:v>
      </x:c>
      <x:c r="E367" s="83" t="str">
        <x:f>IF(A367=0,"GRID",IF(D367&gt;=Control!$B$17,"FINISHED",IF(AND(A367&gt;=INDEX(Drivers!$G$8:$G$13,B367),A367&lt;INDEX(Drivers!$G$8:$G$13,B367)+INDEX(Drivers!$J$8:$J$13,B367)),"PIT",IF(MOD(A367+INDEX(Drivers!$F$8:$F$13,B367),Control!$B$11)&lt;Control!$B$13,"BOOST","RACE"))))</x:f>
        <x:v>RACE</x:v>
      </x:c>
      <x:c r="F367" s="83" t="n">
        <x:f>IF(OR(E367="GRID",E367="FINISHED",E367="PIT"),0,MAX(Control!$B$15,(INDEX(Drivers!$D$8:$D$13,B367)+INDEX(Drivers!$E$8:$E$13,B367)*SIN((A367+INDEX(Drivers!$F$8:$F$13,B367)+Control!$B$16)*Control!$B$14))*INDEX(TrackMap!$M$8:$M$141,MOD(INT(D367)-1,Control!$B$7)+1)*IF(E367="BOOST",Control!$B$12,1)))</x:f>
        <x:v>3.482213564789638</x:v>
      </x:c>
      <x:c r="G367" s="83" t="n">
        <x:f>IF(A367=0,D367,MIN(Control!$B$17,D367+F367))</x:f>
        <x:v>197.2933850677661</x:v>
      </x:c>
      <x:c r="H367" s="73" t="n">
        <x:f>MOD(INT(G367)-1,Control!$B$7)+1</x:f>
        <x:v>63</x:v>
      </x:c>
      <x:c r="I367" s="73" t="n">
        <x:f>MIN(Control!$B$6,MAX(1,INT(MAX(0,G367)/Control!$B$7)+1))</x:f>
        <x:v>2</x:v>
      </x:c>
      <x:c r="J367" s="73" t="n">
        <x:f>INDEX(Drivers!$H$8:$H$13,B367)</x:f>
        <x:v>2</x:v>
      </x:c>
      <x:c r="K367" s="73" t="n">
        <x:f>IF(J367=1,INDEX(TrackMap!$I$8:$I$141,H367),INDEX(TrackMap!$L$8:$L$141,H367))</x:f>
        <x:v>1536</x:v>
      </x:c>
      <x:c r="L367" s="73" t="str">
        <x:f>INDEX(TrackMap!$F$8:$F$141,H367)</x:f>
        <x:v>→</x:v>
      </x:c>
      <x:c r="M367" s="87" t="n">
        <x:f>MAX(0,G367/Control!$B$17)</x:f>
        <x:v>0.2944677389071136</x:v>
      </x:c>
      <x:c r="N367" s="73" t="n">
        <x:f>IF(N361&gt;0,N361,IF(G367&gt;=Control!$B$17,A367,0))</x:f>
        <x:v>0</x:v>
      </x:c>
      <x:c r="O367" s="91" t="n">
        <x:f>IF(N367&gt;0,Control!$B$17+Control!$B$8+1-N367,G367)-B367/100000</x:f>
        <x:v>197.29332506776612</x:v>
      </x:c>
      <x:c r="P367" s="73" t="n">
        <x:f>COUNTIF($O$362:$O$367,"&gt;"&amp;O367)+1</x:f>
        <x:v>6</x:v>
      </x:c>
      <x:c r="Q367" s="83" t="n">
        <x:f>MAX($G$362:$G$367)-G367</x:f>
        <x:v>8.350472134182525</x:v>
      </x:c>
      <x:c r="R367" s="73" t="str">
        <x:f>INDEX(TrackMap!$B$8:$B$141,H367)</x:f>
        <x:v>中央高速直道</x:v>
      </x:c>
    </x:row>
    <x:row r="368" ht="20" customHeight="1">
      <x:c r="A368" s="73" t="n">
        <x:v>60</x:v>
      </x:c>
      <x:c r="B368" s="73" t="n">
        <x:v>1</x:v>
      </x:c>
      <x:c r="C368" s="73" t="str">
        <x:f>INDEX(Drivers!$B$8:$B$13,B368)</x:f>
        <x:v>赤焰</x:v>
      </x:c>
      <x:c r="D368" s="83" t="n">
        <x:f>G362</x:f>
        <x:v>205.64385720194863</x:v>
      </x:c>
      <x:c r="E368" s="83" t="str">
        <x:f>IF(A368=0,"GRID",IF(D368&gt;=Control!$B$17,"FINISHED",IF(AND(A368&gt;=INDEX(Drivers!$G$8:$G$13,B368),A368&lt;INDEX(Drivers!$G$8:$G$13,B368)+INDEX(Drivers!$J$8:$J$13,B368)),"PIT",IF(MOD(A368+INDEX(Drivers!$F$8:$F$13,B368),Control!$B$11)&lt;Control!$B$13,"BOOST","RACE"))))</x:f>
        <x:v>BOOST</x:v>
      </x:c>
      <x:c r="F368" s="83" t="n">
        <x:f>IF(OR(E368="GRID",E368="FINISHED",E368="PIT"),0,MAX(Control!$B$15,(INDEX(Drivers!$D$8:$D$13,B368)+INDEX(Drivers!$E$8:$E$13,B368)*SIN((A368+INDEX(Drivers!$F$8:$F$13,B368)+Control!$B$16)*Control!$B$14))*INDEX(TrackMap!$M$8:$M$141,MOD(INT(D368)-1,Control!$B$7)+1)*IF(E368="BOOST",Control!$B$12,1)))</x:f>
        <x:v>4.2950666751917215</x:v>
      </x:c>
      <x:c r="G368" s="83" t="n">
        <x:f>IF(A368=0,D368,MIN(Control!$B$17,D368+F368))</x:f>
        <x:v>209.93892387714035</x:v>
      </x:c>
      <x:c r="H368" s="73" t="n">
        <x:f>MOD(INT(G368)-1,Control!$B$7)+1</x:f>
        <x:v>75</x:v>
      </x:c>
      <x:c r="I368" s="73" t="n">
        <x:f>MIN(Control!$B$6,MAX(1,INT(MAX(0,G368)/Control!$B$7)+1))</x:f>
        <x:v>2</x:v>
      </x:c>
      <x:c r="J368" s="73" t="n">
        <x:f>INDEX(Drivers!$H$8:$H$13,B368)</x:f>
        <x:v>1</x:v>
      </x:c>
      <x:c r="K368" s="73" t="n">
        <x:f>IF(J368=1,INDEX(TrackMap!$I$8:$I$141,H368),INDEX(TrackMap!$L$8:$L$141,H368))</x:f>
        <x:v>1146</x:v>
      </x:c>
      <x:c r="L368" s="73" t="str">
        <x:f>INDEX(TrackMap!$F$8:$F$141,H368)</x:f>
        <x:v>↑</x:v>
      </x:c>
      <x:c r="M368" s="87" t="n">
        <x:f>MAX(0,G368/Control!$B$17)</x:f>
        <x:v>0.31334167742856767</x:v>
      </x:c>
      <x:c r="N368" s="73" t="n">
        <x:f>IF(N362&gt;0,N362,IF(G368&gt;=Control!$B$17,A368,0))</x:f>
        <x:v>0</x:v>
      </x:c>
      <x:c r="O368" s="91" t="n">
        <x:f>IF(N368&gt;0,Control!$B$17+Control!$B$8+1-N368,G368)-B368/100000</x:f>
        <x:v>209.93891387714035</x:v>
      </x:c>
      <x:c r="P368" s="73" t="n">
        <x:f>COUNTIF($O$368:$O$373,"&gt;"&amp;O368)+1</x:f>
        <x:v>1</x:v>
      </x:c>
      <x:c r="Q368" s="83" t="n">
        <x:f>MAX($G$368:$G$373)-G368</x:f>
        <x:v>0</x:v>
      </x:c>
      <x:c r="R368" s="73" t="str">
        <x:f>INDEX(TrackMap!$B$8:$B$141,H368)</x:f>
        <x:v>东侧上行弯</x:v>
      </x:c>
    </x:row>
    <x:row r="369" ht="20" customHeight="1">
      <x:c r="A369" s="73" t="n">
        <x:v>60</x:v>
      </x:c>
      <x:c r="B369" s="73" t="n">
        <x:v>2</x:v>
      </x:c>
      <x:c r="C369" s="73" t="str">
        <x:f>INDEX(Drivers!$B$8:$B$13,B369)</x:f>
        <x:v>蓝电</x:v>
      </x:c>
      <x:c r="D369" s="83" t="n">
        <x:f>G363</x:f>
        <x:v>203.01468387502126</x:v>
      </x:c>
      <x:c r="E369" s="83" t="str">
        <x:f>IF(A369=0,"GRID",IF(D369&gt;=Control!$B$17,"FINISHED",IF(AND(A369&gt;=INDEX(Drivers!$G$8:$G$13,B369),A369&lt;INDEX(Drivers!$G$8:$G$13,B369)+INDEX(Drivers!$J$8:$J$13,B369)),"PIT",IF(MOD(A369+INDEX(Drivers!$F$8:$F$13,B369),Control!$B$11)&lt;Control!$B$13,"BOOST","RACE"))))</x:f>
        <x:v>RACE</x:v>
      </x:c>
      <x:c r="F369" s="83" t="n">
        <x:f>IF(OR(E369="GRID",E369="FINISHED",E369="PIT"),0,MAX(Control!$B$15,(INDEX(Drivers!$D$8:$D$13,B369)+INDEX(Drivers!$E$8:$E$13,B369)*SIN((A369+INDEX(Drivers!$F$8:$F$13,B369)+Control!$B$16)*Control!$B$14))*INDEX(TrackMap!$M$8:$M$141,MOD(INT(D369)-1,Control!$B$7)+1)*IF(E369="BOOST",Control!$B$12,1)))</x:f>
        <x:v>2.9846716644379447</x:v>
      </x:c>
      <x:c r="G369" s="83" t="n">
        <x:f>IF(A369=0,D369,MIN(Control!$B$17,D369+F369))</x:f>
        <x:v>205.9993555394592</x:v>
      </x:c>
      <x:c r="H369" s="73" t="n">
        <x:f>MOD(INT(G369)-1,Control!$B$7)+1</x:f>
        <x:v>71</x:v>
      </x:c>
      <x:c r="I369" s="73" t="n">
        <x:f>MIN(Control!$B$6,MAX(1,INT(MAX(0,G369)/Control!$B$7)+1))</x:f>
        <x:v>2</x:v>
      </x:c>
      <x:c r="J369" s="73" t="n">
        <x:f>INDEX(Drivers!$H$8:$H$13,B369)</x:f>
        <x:v>2</x:v>
      </x:c>
      <x:c r="K369" s="73" t="n">
        <x:f>IF(J369=1,INDEX(TrackMap!$I$8:$I$141,H369),INDEX(TrackMap!$L$8:$L$141,H369))</x:f>
        <x:v>1544</x:v>
      </x:c>
      <x:c r="L369" s="73" t="str">
        <x:f>INDEX(TrackMap!$F$8:$F$141,H369)</x:f>
        <x:v>→</x:v>
      </x:c>
      <x:c r="M369" s="87" t="n">
        <x:f>MAX(0,G369/Control!$B$17)</x:f>
        <x:v>0.30746172468576</x:v>
      </x:c>
      <x:c r="N369" s="73" t="n">
        <x:f>IF(N363&gt;0,N363,IF(G369&gt;=Control!$B$17,A369,0))</x:f>
        <x:v>0</x:v>
      </x:c>
      <x:c r="O369" s="91" t="n">
        <x:f>IF(N369&gt;0,Control!$B$17+Control!$B$8+1-N369,G369)-B369/100000</x:f>
        <x:v>205.9993355394592</x:v>
      </x:c>
      <x:c r="P369" s="73" t="n">
        <x:f>COUNTIF($O$368:$O$373,"&gt;"&amp;O369)+1</x:f>
        <x:v>3</x:v>
      </x:c>
      <x:c r="Q369" s="83" t="n">
        <x:f>MAX($G$368:$G$373)-G369</x:f>
        <x:v>3.939568337681152</x:v>
      </x:c>
      <x:c r="R369" s="73" t="str">
        <x:f>INDEX(TrackMap!$B$8:$B$141,H369)</x:f>
        <x:v>中央高速直道</x:v>
      </x:c>
    </x:row>
    <x:row r="370" ht="20" customHeight="1">
      <x:c r="A370" s="73" t="n">
        <x:v>60</x:v>
      </x:c>
      <x:c r="B370" s="73" t="n">
        <x:v>3</x:v>
      </x:c>
      <x:c r="C370" s="73" t="str">
        <x:f>INDEX(Drivers!$B$8:$B$13,B370)</x:f>
        <x:v>金翼</x:v>
      </x:c>
      <x:c r="D370" s="83" t="n">
        <x:f>G364</x:f>
        <x:v>204.17611749410923</x:v>
      </x:c>
      <x:c r="E370" s="83" t="str">
        <x:f>IF(A370=0,"GRID",IF(D370&gt;=Control!$B$17,"FINISHED",IF(AND(A370&gt;=INDEX(Drivers!$G$8:$G$13,B370),A370&lt;INDEX(Drivers!$G$8:$G$13,B370)+INDEX(Drivers!$J$8:$J$13,B370)),"PIT",IF(MOD(A370+INDEX(Drivers!$F$8:$F$13,B370),Control!$B$11)&lt;Control!$B$13,"BOOST","RACE"))))</x:f>
        <x:v>RACE</x:v>
      </x:c>
      <x:c r="F370" s="83" t="n">
        <x:f>IF(OR(E370="GRID",E370="FINISHED",E370="PIT"),0,MAX(Control!$B$15,(INDEX(Drivers!$D$8:$D$13,B370)+INDEX(Drivers!$E$8:$E$13,B370)*SIN((A370+INDEX(Drivers!$F$8:$F$13,B370)+Control!$B$16)*Control!$B$14))*INDEX(TrackMap!$M$8:$M$141,MOD(INT(D370)-1,Control!$B$7)+1)*IF(E370="BOOST",Control!$B$12,1)))</x:f>
        <x:v>3.241027533555016</x:v>
      </x:c>
      <x:c r="G370" s="83" t="n">
        <x:f>IF(A370=0,D370,MIN(Control!$B$17,D370+F370))</x:f>
        <x:v>207.41714502766425</x:v>
      </x:c>
      <x:c r="H370" s="73" t="n">
        <x:f>MOD(INT(G370)-1,Control!$B$7)+1</x:f>
        <x:v>73</x:v>
      </x:c>
      <x:c r="I370" s="73" t="n">
        <x:f>MIN(Control!$B$6,MAX(1,INT(MAX(0,G370)/Control!$B$7)+1))</x:f>
        <x:v>2</x:v>
      </x:c>
      <x:c r="J370" s="73" t="n">
        <x:f>INDEX(Drivers!$H$8:$H$13,B370)</x:f>
        <x:v>1</x:v>
      </x:c>
      <x:c r="K370" s="73" t="n">
        <x:f>IF(J370=1,INDEX(TrackMap!$I$8:$I$141,H370),INDEX(TrackMap!$L$8:$L$141,H370))</x:f>
        <x:v>1346</x:v>
      </x:c>
      <x:c r="L370" s="73" t="str">
        <x:f>INDEX(TrackMap!$F$8:$F$141,H370)</x:f>
        <x:v>↑</x:v>
      </x:c>
      <x:c r="M370" s="87" t="n">
        <x:f>MAX(0,G370/Control!$B$17)</x:f>
        <x:v>0.3095778283994989</x:v>
      </x:c>
      <x:c r="N370" s="73" t="n">
        <x:f>IF(N364&gt;0,N364,IF(G370&gt;=Control!$B$17,A370,0))</x:f>
        <x:v>0</x:v>
      </x:c>
      <x:c r="O370" s="91" t="n">
        <x:f>IF(N370&gt;0,Control!$B$17+Control!$B$8+1-N370,G370)-B370/100000</x:f>
        <x:v>207.41711502766424</x:v>
      </x:c>
      <x:c r="P370" s="73" t="n">
        <x:f>COUNTIF($O$368:$O$373,"&gt;"&amp;O370)+1</x:f>
        <x:v>2</x:v>
      </x:c>
      <x:c r="Q370" s="83" t="n">
        <x:f>MAX($G$368:$G$373)-G370</x:f>
        <x:v>2.5217788494761066</x:v>
      </x:c>
      <x:c r="R370" s="73" t="str">
        <x:f>INDEX(TrackMap!$B$8:$B$141,H370)</x:f>
        <x:v>东侧上行弯</x:v>
      </x:c>
    </x:row>
    <x:row r="371" ht="20" customHeight="1">
      <x:c r="A371" s="73" t="n">
        <x:v>60</x:v>
      </x:c>
      <x:c r="B371" s="73" t="n">
        <x:v>4</x:v>
      </x:c>
      <x:c r="C371" s="73" t="str">
        <x:f>INDEX(Drivers!$B$8:$B$13,B371)</x:f>
        <x:v>紫影</x:v>
      </x:c>
      <x:c r="D371" s="83" t="n">
        <x:f>G365</x:f>
        <x:v>202.01734437118972</x:v>
      </x:c>
      <x:c r="E371" s="83" t="str">
        <x:f>IF(A371=0,"GRID",IF(D371&gt;=Control!$B$17,"FINISHED",IF(AND(A371&gt;=INDEX(Drivers!$G$8:$G$13,B371),A371&lt;INDEX(Drivers!$G$8:$G$13,B371)+INDEX(Drivers!$J$8:$J$13,B371)),"PIT",IF(MOD(A371+INDEX(Drivers!$F$8:$F$13,B371),Control!$B$11)&lt;Control!$B$13,"BOOST","RACE"))))</x:f>
        <x:v>RACE</x:v>
      </x:c>
      <x:c r="F371" s="83" t="n">
        <x:f>IF(OR(E371="GRID",E371="FINISHED",E371="PIT"),0,MAX(Control!$B$15,(INDEX(Drivers!$D$8:$D$13,B371)+INDEX(Drivers!$E$8:$E$13,B371)*SIN((A371+INDEX(Drivers!$F$8:$F$13,B371)+Control!$B$16)*Control!$B$14))*INDEX(TrackMap!$M$8:$M$141,MOD(INT(D371)-1,Control!$B$7)+1)*IF(E371="BOOST",Control!$B$12,1)))</x:f>
        <x:v>3.276115985223983</x:v>
      </x:c>
      <x:c r="G371" s="83" t="n">
        <x:f>IF(A371=0,D371,MIN(Control!$B$17,D371+F371))</x:f>
        <x:v>205.2934603564137</x:v>
      </x:c>
      <x:c r="H371" s="73" t="n">
        <x:f>MOD(INT(G371)-1,Control!$B$7)+1</x:f>
        <x:v>71</x:v>
      </x:c>
      <x:c r="I371" s="73" t="n">
        <x:f>MIN(Control!$B$6,MAX(1,INT(MAX(0,G371)/Control!$B$7)+1))</x:f>
        <x:v>2</x:v>
      </x:c>
      <x:c r="J371" s="73" t="n">
        <x:f>INDEX(Drivers!$H$8:$H$13,B371)</x:f>
        <x:v>2</x:v>
      </x:c>
      <x:c r="K371" s="73" t="n">
        <x:f>IF(J371=1,INDEX(TrackMap!$I$8:$I$141,H371),INDEX(TrackMap!$L$8:$L$141,H371))</x:f>
        <x:v>1544</x:v>
      </x:c>
      <x:c r="L371" s="73" t="str">
        <x:f>INDEX(TrackMap!$F$8:$F$141,H371)</x:f>
        <x:v>→</x:v>
      </x:c>
      <x:c r="M371" s="87" t="n">
        <x:f>MAX(0,G371/Control!$B$17)</x:f>
        <x:v>0.3064081497856921</x:v>
      </x:c>
      <x:c r="N371" s="73" t="n">
        <x:f>IF(N365&gt;0,N365,IF(G371&gt;=Control!$B$17,A371,0))</x:f>
        <x:v>0</x:v>
      </x:c>
      <x:c r="O371" s="91" t="n">
        <x:f>IF(N371&gt;0,Control!$B$17+Control!$B$8+1-N371,G371)-B371/100000</x:f>
        <x:v>205.2934203564137</x:v>
      </x:c>
      <x:c r="P371" s="73" t="n">
        <x:f>COUNTIF($O$368:$O$373,"&gt;"&amp;O371)+1</x:f>
        <x:v>4</x:v>
      </x:c>
      <x:c r="Q371" s="83" t="n">
        <x:f>MAX($G$368:$G$373)-G371</x:f>
        <x:v>4.645463520726651</x:v>
      </x:c>
      <x:c r="R371" s="73" t="str">
        <x:f>INDEX(TrackMap!$B$8:$B$141,H371)</x:f>
        <x:v>中央高速直道</x:v>
      </x:c>
    </x:row>
    <x:row r="372" ht="20" customHeight="1">
      <x:c r="A372" s="73" t="n">
        <x:v>60</x:v>
      </x:c>
      <x:c r="B372" s="73" t="n">
        <x:v>5</x:v>
      </x:c>
      <x:c r="C372" s="73" t="str">
        <x:f>INDEX(Drivers!$B$8:$B$13,B372)</x:f>
        <x:v>青锋</x:v>
      </x:c>
      <x:c r="D372" s="83" t="n">
        <x:f>G366</x:f>
        <x:v>201.93154625050397</x:v>
      </x:c>
      <x:c r="E372" s="83" t="str">
        <x:f>IF(A372=0,"GRID",IF(D372&gt;=Control!$B$17,"FINISHED",IF(AND(A372&gt;=INDEX(Drivers!$G$8:$G$13,B372),A372&lt;INDEX(Drivers!$G$8:$G$13,B372)+INDEX(Drivers!$J$8:$J$13,B372)),"PIT",IF(MOD(A372+INDEX(Drivers!$F$8:$F$13,B372),Control!$B$11)&lt;Control!$B$13,"BOOST","RACE"))))</x:f>
        <x:v>RACE</x:v>
      </x:c>
      <x:c r="F372" s="83" t="n">
        <x:f>IF(OR(E372="GRID",E372="FINISHED",E372="PIT"),0,MAX(Control!$B$15,(INDEX(Drivers!$D$8:$D$13,B372)+INDEX(Drivers!$E$8:$E$13,B372)*SIN((A372+INDEX(Drivers!$F$8:$F$13,B372)+Control!$B$16)*Control!$B$14))*INDEX(TrackMap!$M$8:$M$141,MOD(INT(D372)-1,Control!$B$7)+1)*IF(E372="BOOST",Control!$B$12,1)))</x:f>
        <x:v>3.342567602721725</x:v>
      </x:c>
      <x:c r="G372" s="83" t="n">
        <x:f>IF(A372=0,D372,MIN(Control!$B$17,D372+F372))</x:f>
        <x:v>205.27411385322569</x:v>
      </x:c>
      <x:c r="H372" s="73" t="n">
        <x:f>MOD(INT(G372)-1,Control!$B$7)+1</x:f>
        <x:v>71</x:v>
      </x:c>
      <x:c r="I372" s="73" t="n">
        <x:f>MIN(Control!$B$6,MAX(1,INT(MAX(0,G372)/Control!$B$7)+1))</x:f>
        <x:v>2</x:v>
      </x:c>
      <x:c r="J372" s="73" t="n">
        <x:f>INDEX(Drivers!$H$8:$H$13,B372)</x:f>
        <x:v>1</x:v>
      </x:c>
      <x:c r="K372" s="73" t="n">
        <x:f>IF(J372=1,INDEX(TrackMap!$I$8:$I$141,H372),INDEX(TrackMap!$L$8:$L$141,H372))</x:f>
        <x:v>1644</x:v>
      </x:c>
      <x:c r="L372" s="73" t="str">
        <x:f>INDEX(TrackMap!$F$8:$F$141,H372)</x:f>
        <x:v>→</x:v>
      </x:c>
      <x:c r="M372" s="87" t="n">
        <x:f>MAX(0,G372/Control!$B$17)</x:f>
        <x:v>0.30637927440779955</x:v>
      </x:c>
      <x:c r="N372" s="73" t="n">
        <x:f>IF(N366&gt;0,N366,IF(G372&gt;=Control!$B$17,A372,0))</x:f>
        <x:v>0</x:v>
      </x:c>
      <x:c r="O372" s="91" t="n">
        <x:f>IF(N372&gt;0,Control!$B$17+Control!$B$8+1-N372,G372)-B372/100000</x:f>
        <x:v>205.2740638532257</x:v>
      </x:c>
      <x:c r="P372" s="73" t="n">
        <x:f>COUNTIF($O$368:$O$373,"&gt;"&amp;O372)+1</x:f>
        <x:v>5</x:v>
      </x:c>
      <x:c r="Q372" s="83" t="n">
        <x:f>MAX($G$368:$G$373)-G372</x:f>
        <x:v>4.664810023914669</x:v>
      </x:c>
      <x:c r="R372" s="73" t="str">
        <x:f>INDEX(TrackMap!$B$8:$B$141,H372)</x:f>
        <x:v>中央高速直道</x:v>
      </x:c>
    </x:row>
    <x:row r="373" ht="20" customHeight="1">
      <x:c r="A373" s="73" t="n">
        <x:v>60</x:v>
      </x:c>
      <x:c r="B373" s="73" t="n">
        <x:v>6</x:v>
      </x:c>
      <x:c r="C373" s="73" t="str">
        <x:f>INDEX(Drivers!$B$8:$B$13,B373)</x:f>
        <x:v>玫速</x:v>
      </x:c>
      <x:c r="D373" s="83" t="n">
        <x:f>G367</x:f>
        <x:v>197.2933850677661</x:v>
      </x:c>
      <x:c r="E373" s="83" t="str">
        <x:f>IF(A373=0,"GRID",IF(D373&gt;=Control!$B$17,"FINISHED",IF(AND(A373&gt;=INDEX(Drivers!$G$8:$G$13,B373),A373&lt;INDEX(Drivers!$G$8:$G$13,B373)+INDEX(Drivers!$J$8:$J$13,B373)),"PIT",IF(MOD(A373+INDEX(Drivers!$F$8:$F$13,B373),Control!$B$11)&lt;Control!$B$13,"BOOST","RACE"))))</x:f>
        <x:v>RACE</x:v>
      </x:c>
      <x:c r="F373" s="83" t="n">
        <x:f>IF(OR(E373="GRID",E373="FINISHED",E373="PIT"),0,MAX(Control!$B$15,(INDEX(Drivers!$D$8:$D$13,B373)+INDEX(Drivers!$E$8:$E$13,B373)*SIN((A373+INDEX(Drivers!$F$8:$F$13,B373)+Control!$B$16)*Control!$B$14))*INDEX(TrackMap!$M$8:$M$141,MOD(INT(D373)-1,Control!$B$7)+1)*IF(E373="BOOST",Control!$B$12,1)))</x:f>
        <x:v>3.7004401227584367</x:v>
      </x:c>
      <x:c r="G373" s="83" t="n">
        <x:f>IF(A373=0,D373,MIN(Control!$B$17,D373+F373))</x:f>
        <x:v>200.99382519052455</x:v>
      </x:c>
      <x:c r="H373" s="73" t="n">
        <x:f>MOD(INT(G373)-1,Control!$B$7)+1</x:f>
        <x:v>66</x:v>
      </x:c>
      <x:c r="I373" s="73" t="n">
        <x:f>MIN(Control!$B$6,MAX(1,INT(MAX(0,G373)/Control!$B$7)+1))</x:f>
        <x:v>2</x:v>
      </x:c>
      <x:c r="J373" s="73" t="n">
        <x:f>INDEX(Drivers!$H$8:$H$13,B373)</x:f>
        <x:v>2</x:v>
      </x:c>
      <x:c r="K373" s="73" t="n">
        <x:f>IF(J373=1,INDEX(TrackMap!$I$8:$I$141,H373),INDEX(TrackMap!$L$8:$L$141,H373))</x:f>
        <x:v>1539</x:v>
      </x:c>
      <x:c r="L373" s="73" t="str">
        <x:f>INDEX(TrackMap!$F$8:$F$141,H373)</x:f>
        <x:v>→</x:v>
      </x:c>
      <x:c r="M373" s="87" t="n">
        <x:f>MAX(0,G373/Control!$B$17)</x:f>
        <x:v>0.29999078386645456</x:v>
      </x:c>
      <x:c r="N373" s="73" t="n">
        <x:f>IF(N367&gt;0,N367,IF(G373&gt;=Control!$B$17,A373,0))</x:f>
        <x:v>0</x:v>
      </x:c>
      <x:c r="O373" s="91" t="n">
        <x:f>IF(N373&gt;0,Control!$B$17+Control!$B$8+1-N373,G373)-B373/100000</x:f>
        <x:v>200.99376519052456</x:v>
      </x:c>
      <x:c r="P373" s="73" t="n">
        <x:f>COUNTIF($O$368:$O$373,"&gt;"&amp;O373)+1</x:f>
        <x:v>6</x:v>
      </x:c>
      <x:c r="Q373" s="83" t="n">
        <x:f>MAX($G$368:$G$373)-G373</x:f>
        <x:v>8.945098686615808</x:v>
      </x:c>
      <x:c r="R373" s="73" t="str">
        <x:f>INDEX(TrackMap!$B$8:$B$141,H373)</x:f>
        <x:v>中央高速直道</x:v>
      </x:c>
    </x:row>
    <x:row r="374" ht="20" customHeight="1">
      <x:c r="A374" s="73" t="n">
        <x:v>61</x:v>
      </x:c>
      <x:c r="B374" s="73" t="n">
        <x:v>1</x:v>
      </x:c>
      <x:c r="C374" s="73" t="str">
        <x:f>INDEX(Drivers!$B$8:$B$13,B374)</x:f>
        <x:v>赤焰</x:v>
      </x:c>
      <x:c r="D374" s="83" t="n">
        <x:f>G368</x:f>
        <x:v>209.93892387714035</x:v>
      </x:c>
      <x:c r="E374" s="83" t="str">
        <x:f>IF(A374=0,"GRID",IF(D374&gt;=Control!$B$17,"FINISHED",IF(AND(A374&gt;=INDEX(Drivers!$G$8:$G$13,B374),A374&lt;INDEX(Drivers!$G$8:$G$13,B374)+INDEX(Drivers!$J$8:$J$13,B374)),"PIT",IF(MOD(A374+INDEX(Drivers!$F$8:$F$13,B374),Control!$B$11)&lt;Control!$B$13,"BOOST","RACE"))))</x:f>
        <x:v>BOOST</x:v>
      </x:c>
      <x:c r="F374" s="83" t="n">
        <x:f>IF(OR(E374="GRID",E374="FINISHED",E374="PIT"),0,MAX(Control!$B$15,(INDEX(Drivers!$D$8:$D$13,B374)+INDEX(Drivers!$E$8:$E$13,B374)*SIN((A374+INDEX(Drivers!$F$8:$F$13,B374)+Control!$B$16)*Control!$B$14))*INDEX(TrackMap!$M$8:$M$141,MOD(INT(D374)-1,Control!$B$7)+1)*IF(E374="BOOST",Control!$B$12,1)))</x:f>
        <x:v>4.133393620827759</x:v>
      </x:c>
      <x:c r="G374" s="83" t="n">
        <x:f>IF(A374=0,D374,MIN(Control!$B$17,D374+F374))</x:f>
        <x:v>214.0723174979681</x:v>
      </x:c>
      <x:c r="H374" s="73" t="n">
        <x:f>MOD(INT(G374)-1,Control!$B$7)+1</x:f>
        <x:v>80</x:v>
      </x:c>
      <x:c r="I374" s="73" t="n">
        <x:f>MIN(Control!$B$6,MAX(1,INT(MAX(0,G374)/Control!$B$7)+1))</x:f>
        <x:v>2</x:v>
      </x:c>
      <x:c r="J374" s="73" t="n">
        <x:f>INDEX(Drivers!$H$8:$H$13,B374)</x:f>
        <x:v>1</x:v>
      </x:c>
      <x:c r="K374" s="73" t="n">
        <x:f>IF(J374=1,INDEX(TrackMap!$I$8:$I$141,H374),INDEX(TrackMap!$L$8:$L$141,H374))</x:f>
        <x:v>849</x:v>
      </x:c>
      <x:c r="L374" s="73" t="str">
        <x:f>INDEX(TrackMap!$F$8:$F$141,H374)</x:f>
        <x:v>→</x:v>
      </x:c>
      <x:c r="M374" s="87" t="n">
        <x:f>MAX(0,G374/Control!$B$17)</x:f>
        <x:v>0.3195109216387584</x:v>
      </x:c>
      <x:c r="N374" s="73" t="n">
        <x:f>IF(N368&gt;0,N368,IF(G374&gt;=Control!$B$17,A374,0))</x:f>
        <x:v>0</x:v>
      </x:c>
      <x:c r="O374" s="91" t="n">
        <x:f>IF(N374&gt;0,Control!$B$17+Control!$B$8+1-N374,G374)-B374/100000</x:f>
        <x:v>214.0723074979681</x:v>
      </x:c>
      <x:c r="P374" s="73" t="n">
        <x:f>COUNTIF($O$374:$O$379,"&gt;"&amp;O374)+1</x:f>
        <x:v>1</x:v>
      </x:c>
      <x:c r="Q374" s="83" t="n">
        <x:f>MAX($G$374:$G$379)-G374</x:f>
        <x:v>0</x:v>
      </x:c>
      <x:c r="R374" s="73" t="str">
        <x:f>INDEX(TrackMap!$B$8:$B$141,H374)</x:f>
        <x:v>东侧发卡弯</x:v>
      </x:c>
    </x:row>
    <x:row r="375" ht="20" customHeight="1">
      <x:c r="A375" s="73" t="n">
        <x:v>61</x:v>
      </x:c>
      <x:c r="B375" s="73" t="n">
        <x:v>2</x:v>
      </x:c>
      <x:c r="C375" s="73" t="str">
        <x:f>INDEX(Drivers!$B$8:$B$13,B375)</x:f>
        <x:v>蓝电</x:v>
      </x:c>
      <x:c r="D375" s="83" t="n">
        <x:f>G369</x:f>
        <x:v>205.9993555394592</x:v>
      </x:c>
      <x:c r="E375" s="83" t="str">
        <x:f>IF(A375=0,"GRID",IF(D375&gt;=Control!$B$17,"FINISHED",IF(AND(A375&gt;=INDEX(Drivers!$G$8:$G$13,B375),A375&lt;INDEX(Drivers!$G$8:$G$13,B375)+INDEX(Drivers!$J$8:$J$13,B375)),"PIT",IF(MOD(A375+INDEX(Drivers!$F$8:$F$13,B375),Control!$B$11)&lt;Control!$B$13,"BOOST","RACE"))))</x:f>
        <x:v>RACE</x:v>
      </x:c>
      <x:c r="F375" s="83" t="n">
        <x:f>IF(OR(E375="GRID",E375="FINISHED",E375="PIT"),0,MAX(Control!$B$15,(INDEX(Drivers!$D$8:$D$13,B375)+INDEX(Drivers!$E$8:$E$13,B375)*SIN((A375+INDEX(Drivers!$F$8:$F$13,B375)+Control!$B$16)*Control!$B$14))*INDEX(TrackMap!$M$8:$M$141,MOD(INT(D375)-1,Control!$B$7)+1)*IF(E375="BOOST",Control!$B$12,1)))</x:f>
        <x:v>2.380545699875501</x:v>
      </x:c>
      <x:c r="G375" s="83" t="n">
        <x:f>IF(A375=0,D375,MIN(Control!$B$17,D375+F375))</x:f>
        <x:v>208.3799012393347</x:v>
      </x:c>
      <x:c r="H375" s="73" t="n">
        <x:f>MOD(INT(G375)-1,Control!$B$7)+1</x:f>
        <x:v>74</x:v>
      </x:c>
      <x:c r="I375" s="73" t="n">
        <x:f>MIN(Control!$B$6,MAX(1,INT(MAX(0,G375)/Control!$B$7)+1))</x:f>
        <x:v>2</x:v>
      </x:c>
      <x:c r="J375" s="73" t="n">
        <x:f>INDEX(Drivers!$H$8:$H$13,B375)</x:f>
        <x:v>2</x:v>
      </x:c>
      <x:c r="K375" s="73" t="n">
        <x:f>IF(J375=1,INDEX(TrackMap!$I$8:$I$141,H375),INDEX(TrackMap!$L$8:$L$141,H375))</x:f>
        <x:v>1245</x:v>
      </x:c>
      <x:c r="L375" s="73" t="str">
        <x:f>INDEX(TrackMap!$F$8:$F$141,H375)</x:f>
        <x:v>↑</x:v>
      </x:c>
      <x:c r="M375" s="87" t="n">
        <x:f>MAX(0,G375/Control!$B$17)</x:f>
        <x:v>0.3110147779691563</x:v>
      </x:c>
      <x:c r="N375" s="73" t="n">
        <x:f>IF(N369&gt;0,N369,IF(G375&gt;=Control!$B$17,A375,0))</x:f>
        <x:v>0</x:v>
      </x:c>
      <x:c r="O375" s="91" t="n">
        <x:f>IF(N375&gt;0,Control!$B$17+Control!$B$8+1-N375,G375)-B375/100000</x:f>
        <x:v>208.3798812393347</x:v>
      </x:c>
      <x:c r="P375" s="73" t="n">
        <x:f>COUNTIF($O$374:$O$379,"&gt;"&amp;O375)+1</x:f>
        <x:v>3</x:v>
      </x:c>
      <x:c r="Q375" s="83" t="n">
        <x:f>MAX($G$374:$G$379)-G375</x:f>
        <x:v>5.692416258633386</x:v>
      </x:c>
      <x:c r="R375" s="73" t="str">
        <x:f>INDEX(TrackMap!$B$8:$B$141,H375)</x:f>
        <x:v>东侧上行弯</x:v>
      </x:c>
    </x:row>
    <x:row r="376" ht="20" customHeight="1">
      <x:c r="A376" s="73" t="n">
        <x:v>61</x:v>
      </x:c>
      <x:c r="B376" s="73" t="n">
        <x:v>3</x:v>
      </x:c>
      <x:c r="C376" s="73" t="str">
        <x:f>INDEX(Drivers!$B$8:$B$13,B376)</x:f>
        <x:v>金翼</x:v>
      </x:c>
      <x:c r="D376" s="83" t="n">
        <x:f>G370</x:f>
        <x:v>207.41714502766425</x:v>
      </x:c>
      <x:c r="E376" s="83" t="str">
        <x:f>IF(A376=0,"GRID",IF(D376&gt;=Control!$B$17,"FINISHED",IF(AND(A376&gt;=INDEX(Drivers!$G$8:$G$13,B376),A376&lt;INDEX(Drivers!$G$8:$G$13,B376)+INDEX(Drivers!$J$8:$J$13,B376)),"PIT",IF(MOD(A376+INDEX(Drivers!$F$8:$F$13,B376),Control!$B$11)&lt;Control!$B$13,"BOOST","RACE"))))</x:f>
        <x:v>RACE</x:v>
      </x:c>
      <x:c r="F376" s="83" t="n">
        <x:f>IF(OR(E376="GRID",E376="FINISHED",E376="PIT"),0,MAX(Control!$B$15,(INDEX(Drivers!$D$8:$D$13,B376)+INDEX(Drivers!$E$8:$E$13,B376)*SIN((A376+INDEX(Drivers!$F$8:$F$13,B376)+Control!$B$16)*Control!$B$14))*INDEX(TrackMap!$M$8:$M$141,MOD(INT(D376)-1,Control!$B$7)+1)*IF(E376="BOOST",Control!$B$12,1)))</x:f>
        <x:v>3.27537275899052</x:v>
      </x:c>
      <x:c r="G376" s="83" t="n">
        <x:f>IF(A376=0,D376,MIN(Control!$B$17,D376+F376))</x:f>
        <x:v>210.69251778665478</x:v>
      </x:c>
      <x:c r="H376" s="73" t="n">
        <x:f>MOD(INT(G376)-1,Control!$B$7)+1</x:f>
        <x:v>76</x:v>
      </x:c>
      <x:c r="I376" s="73" t="n">
        <x:f>MIN(Control!$B$6,MAX(1,INT(MAX(0,G376)/Control!$B$7)+1))</x:f>
        <x:v>2</x:v>
      </x:c>
      <x:c r="J376" s="73" t="n">
        <x:f>INDEX(Drivers!$H$8:$H$13,B376)</x:f>
        <x:v>1</x:v>
      </x:c>
      <x:c r="K376" s="73" t="n">
        <x:f>IF(J376=1,INDEX(TrackMap!$I$8:$I$141,H376),INDEX(TrackMap!$L$8:$L$141,H376))</x:f>
        <x:v>1046</x:v>
      </x:c>
      <x:c r="L376" s="73" t="str">
        <x:f>INDEX(TrackMap!$F$8:$F$141,H376)</x:f>
        <x:v>↑</x:v>
      </x:c>
      <x:c r="M376" s="87" t="n">
        <x:f>MAX(0,G376/Control!$B$17)</x:f>
        <x:v>0.3144664444576937</x:v>
      </x:c>
      <x:c r="N376" s="73" t="n">
        <x:f>IF(N370&gt;0,N370,IF(G376&gt;=Control!$B$17,A376,0))</x:f>
        <x:v>0</x:v>
      </x:c>
      <x:c r="O376" s="91" t="n">
        <x:f>IF(N376&gt;0,Control!$B$17+Control!$B$8+1-N376,G376)-B376/100000</x:f>
        <x:v>210.69248778665477</x:v>
      </x:c>
      <x:c r="P376" s="73" t="n">
        <x:f>COUNTIF($O$374:$O$379,"&gt;"&amp;O376)+1</x:f>
        <x:v>2</x:v>
      </x:c>
      <x:c r="Q376" s="83" t="n">
        <x:f>MAX($G$374:$G$379)-G376</x:f>
        <x:v>3.379799711313325</x:v>
      </x:c>
      <x:c r="R376" s="73" t="str">
        <x:f>INDEX(TrackMap!$B$8:$B$141,H376)</x:f>
        <x:v>东侧上行弯</x:v>
      </x:c>
    </x:row>
    <x:row r="377" ht="20" customHeight="1">
      <x:c r="A377" s="73" t="n">
        <x:v>61</x:v>
      </x:c>
      <x:c r="B377" s="73" t="n">
        <x:v>4</x:v>
      </x:c>
      <x:c r="C377" s="73" t="str">
        <x:f>INDEX(Drivers!$B$8:$B$13,B377)</x:f>
        <x:v>紫影</x:v>
      </x:c>
      <x:c r="D377" s="83" t="n">
        <x:f>G371</x:f>
        <x:v>205.2934603564137</x:v>
      </x:c>
      <x:c r="E377" s="83" t="str">
        <x:f>IF(A377=0,"GRID",IF(D377&gt;=Control!$B$17,"FINISHED",IF(AND(A377&gt;=INDEX(Drivers!$G$8:$G$13,B377),A377&lt;INDEX(Drivers!$G$8:$G$13,B377)+INDEX(Drivers!$J$8:$J$13,B377)),"PIT",IF(MOD(A377+INDEX(Drivers!$F$8:$F$13,B377),Control!$B$11)&lt;Control!$B$13,"BOOST","RACE"))))</x:f>
        <x:v>RACE</x:v>
      </x:c>
      <x:c r="F377" s="83" t="n">
        <x:f>IF(OR(E377="GRID",E377="FINISHED",E377="PIT"),0,MAX(Control!$B$15,(INDEX(Drivers!$D$8:$D$13,B377)+INDEX(Drivers!$E$8:$E$13,B377)*SIN((A377+INDEX(Drivers!$F$8:$F$13,B377)+Control!$B$16)*Control!$B$14))*INDEX(TrackMap!$M$8:$M$141,MOD(INT(D377)-1,Control!$B$7)+1)*IF(E377="BOOST",Control!$B$12,1)))</x:f>
        <x:v>2.436755203390141</x:v>
      </x:c>
      <x:c r="G377" s="83" t="n">
        <x:f>IF(A377=0,D377,MIN(Control!$B$17,D377+F377))</x:f>
        <x:v>207.73021555980384</x:v>
      </x:c>
      <x:c r="H377" s="73" t="n">
        <x:f>MOD(INT(G377)-1,Control!$B$7)+1</x:f>
        <x:v>73</x:v>
      </x:c>
      <x:c r="I377" s="73" t="n">
        <x:f>MIN(Control!$B$6,MAX(1,INT(MAX(0,G377)/Control!$B$7)+1))</x:f>
        <x:v>2</x:v>
      </x:c>
      <x:c r="J377" s="73" t="n">
        <x:f>INDEX(Drivers!$H$8:$H$13,B377)</x:f>
        <x:v>2</x:v>
      </x:c>
      <x:c r="K377" s="73" t="n">
        <x:f>IF(J377=1,INDEX(TrackMap!$I$8:$I$141,H377),INDEX(TrackMap!$L$8:$L$141,H377))</x:f>
        <x:v>1345</x:v>
      </x:c>
      <x:c r="L377" s="73" t="str">
        <x:f>INDEX(TrackMap!$F$8:$F$141,H377)</x:f>
        <x:v>↑</x:v>
      </x:c>
      <x:c r="M377" s="87" t="n">
        <x:f>MAX(0,G377/Control!$B$17)</x:f>
        <x:v>0.3100450978504535</x:v>
      </x:c>
      <x:c r="N377" s="73" t="n">
        <x:f>IF(N371&gt;0,N371,IF(G377&gt;=Control!$B$17,A377,0))</x:f>
        <x:v>0</x:v>
      </x:c>
      <x:c r="O377" s="91" t="n">
        <x:f>IF(N377&gt;0,Control!$B$17+Control!$B$8+1-N377,G377)-B377/100000</x:f>
        <x:v>207.73017555980383</x:v>
      </x:c>
      <x:c r="P377" s="73" t="n">
        <x:f>COUNTIF($O$374:$O$379,"&gt;"&amp;O377)+1</x:f>
        <x:v>5</x:v>
      </x:c>
      <x:c r="Q377" s="83" t="n">
        <x:f>MAX($G$374:$G$379)-G377</x:f>
        <x:v>6.342101938164262</x:v>
      </x:c>
      <x:c r="R377" s="73" t="str">
        <x:f>INDEX(TrackMap!$B$8:$B$141,H377)</x:f>
        <x:v>东侧上行弯</x:v>
      </x:c>
    </x:row>
    <x:row r="378" ht="20" customHeight="1">
      <x:c r="A378" s="73" t="n">
        <x:v>61</x:v>
      </x:c>
      <x:c r="B378" s="73" t="n">
        <x:v>5</x:v>
      </x:c>
      <x:c r="C378" s="73" t="str">
        <x:f>INDEX(Drivers!$B$8:$B$13,B378)</x:f>
        <x:v>青锋</x:v>
      </x:c>
      <x:c r="D378" s="83" t="n">
        <x:f>G372</x:f>
        <x:v>205.27411385322569</x:v>
      </x:c>
      <x:c r="E378" s="83" t="str">
        <x:f>IF(A378=0,"GRID",IF(D378&gt;=Control!$B$17,"FINISHED",IF(AND(A378&gt;=INDEX(Drivers!$G$8:$G$13,B378),A378&lt;INDEX(Drivers!$G$8:$G$13,B378)+INDEX(Drivers!$J$8:$J$13,B378)),"PIT",IF(MOD(A378+INDEX(Drivers!$F$8:$F$13,B378),Control!$B$11)&lt;Control!$B$13,"BOOST","RACE"))))</x:f>
        <x:v>RACE</x:v>
      </x:c>
      <x:c r="F378" s="83" t="n">
        <x:f>IF(OR(E378="GRID",E378="FINISHED",E378="PIT"),0,MAX(Control!$B$15,(INDEX(Drivers!$D$8:$D$13,B378)+INDEX(Drivers!$E$8:$E$13,B378)*SIN((A378+INDEX(Drivers!$F$8:$F$13,B378)+Control!$B$16)*Control!$B$14))*INDEX(TrackMap!$M$8:$M$141,MOD(INT(D378)-1,Control!$B$7)+1)*IF(E378="BOOST",Control!$B$12,1)))</x:f>
        <x:v>2.500147163547376</x:v>
      </x:c>
      <x:c r="G378" s="83" t="n">
        <x:f>IF(A378=0,D378,MIN(Control!$B$17,D378+F378))</x:f>
        <x:v>207.77426101677307</x:v>
      </x:c>
      <x:c r="H378" s="73" t="n">
        <x:f>MOD(INT(G378)-1,Control!$B$7)+1</x:f>
        <x:v>73</x:v>
      </x:c>
      <x:c r="I378" s="73" t="n">
        <x:f>MIN(Control!$B$6,MAX(1,INT(MAX(0,G378)/Control!$B$7)+1))</x:f>
        <x:v>2</x:v>
      </x:c>
      <x:c r="J378" s="73" t="n">
        <x:f>INDEX(Drivers!$H$8:$H$13,B378)</x:f>
        <x:v>1</x:v>
      </x:c>
      <x:c r="K378" s="73" t="n">
        <x:f>IF(J378=1,INDEX(TrackMap!$I$8:$I$141,H378),INDEX(TrackMap!$L$8:$L$141,H378))</x:f>
        <x:v>1346</x:v>
      </x:c>
      <x:c r="L378" s="73" t="str">
        <x:f>INDEX(TrackMap!$F$8:$F$141,H378)</x:f>
        <x:v>↑</x:v>
      </x:c>
      <x:c r="M378" s="87" t="n">
        <x:f>MAX(0,G378/Control!$B$17)</x:f>
        <x:v>0.3101108373384673</x:v>
      </x:c>
      <x:c r="N378" s="73" t="n">
        <x:f>IF(N372&gt;0,N372,IF(G378&gt;=Control!$B$17,A378,0))</x:f>
        <x:v>0</x:v>
      </x:c>
      <x:c r="O378" s="91" t="n">
        <x:f>IF(N378&gt;0,Control!$B$17+Control!$B$8+1-N378,G378)-B378/100000</x:f>
        <x:v>207.77421101677308</x:v>
      </x:c>
      <x:c r="P378" s="73" t="n">
        <x:f>COUNTIF($O$374:$O$379,"&gt;"&amp;O378)+1</x:f>
        <x:v>4</x:v>
      </x:c>
      <x:c r="Q378" s="83" t="n">
        <x:f>MAX($G$374:$G$379)-G378</x:f>
        <x:v>6.298056481195033</x:v>
      </x:c>
      <x:c r="R378" s="73" t="str">
        <x:f>INDEX(TrackMap!$B$8:$B$141,H378)</x:f>
        <x:v>东侧上行弯</x:v>
      </x:c>
    </x:row>
    <x:row r="379" ht="20" customHeight="1">
      <x:c r="A379" s="73" t="n">
        <x:v>61</x:v>
      </x:c>
      <x:c r="B379" s="73" t="n">
        <x:v>6</x:v>
      </x:c>
      <x:c r="C379" s="73" t="str">
        <x:f>INDEX(Drivers!$B$8:$B$13,B379)</x:f>
        <x:v>玫速</x:v>
      </x:c>
      <x:c r="D379" s="83" t="n">
        <x:f>G373</x:f>
        <x:v>200.99382519052455</x:v>
      </x:c>
      <x:c r="E379" s="83" t="str">
        <x:f>IF(A379=0,"GRID",IF(D379&gt;=Control!$B$17,"FINISHED",IF(AND(A379&gt;=INDEX(Drivers!$G$8:$G$13,B379),A379&lt;INDEX(Drivers!$G$8:$G$13,B379)+INDEX(Drivers!$J$8:$J$13,B379)),"PIT",IF(MOD(A379+INDEX(Drivers!$F$8:$F$13,B379),Control!$B$11)&lt;Control!$B$13,"BOOST","RACE"))))</x:f>
        <x:v>RACE</x:v>
      </x:c>
      <x:c r="F379" s="83" t="n">
        <x:f>IF(OR(E379="GRID",E379="FINISHED",E379="PIT"),0,MAX(Control!$B$15,(INDEX(Drivers!$D$8:$D$13,B379)+INDEX(Drivers!$E$8:$E$13,B379)*SIN((A379+INDEX(Drivers!$F$8:$F$13,B379)+Control!$B$16)*Control!$B$14))*INDEX(TrackMap!$M$8:$M$141,MOD(INT(D379)-1,Control!$B$7)+1)*IF(E379="BOOST",Control!$B$12,1)))</x:f>
        <x:v>3.915900206000831</x:v>
      </x:c>
      <x:c r="G379" s="83" t="n">
        <x:f>IF(A379=0,D379,MIN(Control!$B$17,D379+F379))</x:f>
        <x:v>204.90972539652537</x:v>
      </x:c>
      <x:c r="H379" s="73" t="n">
        <x:f>MOD(INT(G379)-1,Control!$B$7)+1</x:f>
        <x:v>70</x:v>
      </x:c>
      <x:c r="I379" s="73" t="n">
        <x:f>MIN(Control!$B$6,MAX(1,INT(MAX(0,G379)/Control!$B$7)+1))</x:f>
        <x:v>2</x:v>
      </x:c>
      <x:c r="J379" s="73" t="n">
        <x:f>INDEX(Drivers!$H$8:$H$13,B379)</x:f>
        <x:v>2</x:v>
      </x:c>
      <x:c r="K379" s="73" t="n">
        <x:f>IF(J379=1,INDEX(TrackMap!$I$8:$I$141,H379),INDEX(TrackMap!$L$8:$L$141,H379))</x:f>
        <x:v>1543</x:v>
      </x:c>
      <x:c r="L379" s="73" t="str">
        <x:f>INDEX(TrackMap!$F$8:$F$141,H379)</x:f>
        <x:v>→</x:v>
      </x:c>
      <x:c r="M379" s="87" t="n">
        <x:f>MAX(0,G379/Control!$B$17)</x:f>
        <x:v>0.3058354110395901</x:v>
      </x:c>
      <x:c r="N379" s="73" t="n">
        <x:f>IF(N373&gt;0,N373,IF(G379&gt;=Control!$B$17,A379,0))</x:f>
        <x:v>0</x:v>
      </x:c>
      <x:c r="O379" s="91" t="n">
        <x:f>IF(N379&gt;0,Control!$B$17+Control!$B$8+1-N379,G379)-B379/100000</x:f>
        <x:v>204.90966539652538</x:v>
      </x:c>
      <x:c r="P379" s="73" t="n">
        <x:f>COUNTIF($O$374:$O$379,"&gt;"&amp;O379)+1</x:f>
        <x:v>6</x:v>
      </x:c>
      <x:c r="Q379" s="83" t="n">
        <x:f>MAX($G$374:$G$379)-G379</x:f>
        <x:v>9.162592101442726</x:v>
      </x:c>
      <x:c r="R379" s="73" t="str">
        <x:f>INDEX(TrackMap!$B$8:$B$141,H379)</x:f>
        <x:v>中央高速直道</x:v>
      </x:c>
    </x:row>
    <x:row r="380" ht="20" customHeight="1">
      <x:c r="A380" s="73" t="n">
        <x:v>62</x:v>
      </x:c>
      <x:c r="B380" s="73" t="n">
        <x:v>1</x:v>
      </x:c>
      <x:c r="C380" s="73" t="str">
        <x:f>INDEX(Drivers!$B$8:$B$13,B380)</x:f>
        <x:v>赤焰</x:v>
      </x:c>
      <x:c r="D380" s="83" t="n">
        <x:f>G374</x:f>
        <x:v>214.0723174979681</x:v>
      </x:c>
      <x:c r="E380" s="83" t="str">
        <x:f>IF(A380=0,"GRID",IF(D380&gt;=Control!$B$17,"FINISHED",IF(AND(A380&gt;=INDEX(Drivers!$G$8:$G$13,B380),A380&lt;INDEX(Drivers!$G$8:$G$13,B380)+INDEX(Drivers!$J$8:$J$13,B380)),"PIT",IF(MOD(A380+INDEX(Drivers!$F$8:$F$13,B380),Control!$B$11)&lt;Control!$B$13,"BOOST","RACE"))))</x:f>
        <x:v>BOOST</x:v>
      </x:c>
      <x:c r="F380" s="83" t="n">
        <x:f>IF(OR(E380="GRID",E380="FINISHED",E380="PIT"),0,MAX(Control!$B$15,(INDEX(Drivers!$D$8:$D$13,B380)+INDEX(Drivers!$E$8:$E$13,B380)*SIN((A380+INDEX(Drivers!$F$8:$F$13,B380)+Control!$B$16)*Control!$B$14))*INDEX(TrackMap!$M$8:$M$141,MOD(INT(D380)-1,Control!$B$7)+1)*IF(E380="BOOST",Control!$B$12,1)))</x:f>
        <x:v>3.9324780575717715</x:v>
      </x:c>
      <x:c r="G380" s="83" t="n">
        <x:f>IF(A380=0,D380,MIN(Control!$B$17,D380+F380))</x:f>
        <x:v>218.00479555553989</x:v>
      </x:c>
      <x:c r="H380" s="73" t="n">
        <x:f>MOD(INT(G380)-1,Control!$B$7)+1</x:f>
        <x:v>84</x:v>
      </x:c>
      <x:c r="I380" s="73" t="n">
        <x:f>MIN(Control!$B$6,MAX(1,INT(MAX(0,G380)/Control!$B$7)+1))</x:f>
        <x:v>2</x:v>
      </x:c>
      <x:c r="J380" s="73" t="n">
        <x:f>INDEX(Drivers!$H$8:$H$13,B380)</x:f>
        <x:v>1</x:v>
      </x:c>
      <x:c r="K380" s="73" t="n">
        <x:f>IF(J380=1,INDEX(TrackMap!$I$8:$I$141,H380),INDEX(TrackMap!$L$8:$L$141,H380))</x:f>
        <x:v>1352</x:v>
      </x:c>
      <x:c r="L380" s="73" t="str">
        <x:f>INDEX(TrackMap!$F$8:$F$141,H380)</x:f>
        <x:v>↓</x:v>
      </x:c>
      <x:c r="M380" s="87" t="n">
        <x:f>MAX(0,G380/Control!$B$17)</x:f>
        <x:v>0.32538029187394013</x:v>
      </x:c>
      <x:c r="N380" s="73" t="n">
        <x:f>IF(N374&gt;0,N374,IF(G380&gt;=Control!$B$17,A380,0))</x:f>
        <x:v>0</x:v>
      </x:c>
      <x:c r="O380" s="91" t="n">
        <x:f>IF(N380&gt;0,Control!$B$17+Control!$B$8+1-N380,G380)-B380/100000</x:f>
        <x:v>218.00478555553988</x:v>
      </x:c>
      <x:c r="P380" s="73" t="n">
        <x:f>COUNTIF($O$380:$O$385,"&gt;"&amp;O380)+1</x:f>
        <x:v>1</x:v>
      </x:c>
      <x:c r="Q380" s="83" t="n">
        <x:f>MAX($G$380:$G$385)-G380</x:f>
        <x:v>0</x:v>
      </x:c>
      <x:c r="R380" s="73" t="str">
        <x:f>INDEX(TrackMap!$B$8:$B$141,H380)</x:f>
        <x:v>东侧长直道</x:v>
      </x:c>
    </x:row>
    <x:row r="381" ht="20" customHeight="1">
      <x:c r="A381" s="73" t="n">
        <x:v>62</x:v>
      </x:c>
      <x:c r="B381" s="73" t="n">
        <x:v>2</x:v>
      </x:c>
      <x:c r="C381" s="73" t="str">
        <x:f>INDEX(Drivers!$B$8:$B$13,B381)</x:f>
        <x:v>蓝电</x:v>
      </x:c>
      <x:c r="D381" s="83" t="n">
        <x:f>G375</x:f>
        <x:v>208.3799012393347</x:v>
      </x:c>
      <x:c r="E381" s="83" t="str">
        <x:f>IF(A381=0,"GRID",IF(D381&gt;=Control!$B$17,"FINISHED",IF(AND(A381&gt;=INDEX(Drivers!$G$8:$G$13,B381),A381&lt;INDEX(Drivers!$G$8:$G$13,B381)+INDEX(Drivers!$J$8:$J$13,B381)),"PIT",IF(MOD(A381+INDEX(Drivers!$F$8:$F$13,B381),Control!$B$11)&lt;Control!$B$13,"BOOST","RACE"))))</x:f>
        <x:v>RACE</x:v>
      </x:c>
      <x:c r="F381" s="83" t="n">
        <x:f>IF(OR(E381="GRID",E381="FINISHED",E381="PIT"),0,MAX(Control!$B$15,(INDEX(Drivers!$D$8:$D$13,B381)+INDEX(Drivers!$E$8:$E$13,B381)*SIN((A381+INDEX(Drivers!$F$8:$F$13,B381)+Control!$B$16)*Control!$B$14))*INDEX(TrackMap!$M$8:$M$141,MOD(INT(D381)-1,Control!$B$7)+1)*IF(E381="BOOST",Control!$B$12,1)))</x:f>
        <x:v>2.4887900489153925</x:v>
      </x:c>
      <x:c r="G381" s="83" t="n">
        <x:f>IF(A381=0,D381,MIN(Control!$B$17,D381+F381))</x:f>
        <x:v>210.86869128825012</x:v>
      </x:c>
      <x:c r="H381" s="73" t="n">
        <x:f>MOD(INT(G381)-1,Control!$B$7)+1</x:f>
        <x:v>76</x:v>
      </x:c>
      <x:c r="I381" s="73" t="n">
        <x:f>MIN(Control!$B$6,MAX(1,INT(MAX(0,G381)/Control!$B$7)+1))</x:f>
        <x:v>2</x:v>
      </x:c>
      <x:c r="J381" s="73" t="n">
        <x:f>INDEX(Drivers!$H$8:$H$13,B381)</x:f>
        <x:v>2</x:v>
      </x:c>
      <x:c r="K381" s="73" t="n">
        <x:f>IF(J381=1,INDEX(TrackMap!$I$8:$I$141,H381),INDEX(TrackMap!$L$8:$L$141,H381))</x:f>
        <x:v>1045</x:v>
      </x:c>
      <x:c r="L381" s="73" t="str">
        <x:f>INDEX(TrackMap!$F$8:$F$141,H381)</x:f>
        <x:v>↑</x:v>
      </x:c>
      <x:c r="M381" s="87" t="n">
        <x:f>MAX(0,G381/Control!$B$17)</x:f>
        <x:v>0.31472938998246286</x:v>
      </x:c>
      <x:c r="N381" s="73" t="n">
        <x:f>IF(N375&gt;0,N375,IF(G381&gt;=Control!$B$17,A381,0))</x:f>
        <x:v>0</x:v>
      </x:c>
      <x:c r="O381" s="91" t="n">
        <x:f>IF(N381&gt;0,Control!$B$17+Control!$B$8+1-N381,G381)-B381/100000</x:f>
        <x:v>210.8686712882501</x:v>
      </x:c>
      <x:c r="P381" s="73" t="n">
        <x:f>COUNTIF($O$380:$O$385,"&gt;"&amp;O381)+1</x:f>
        <x:v>3</x:v>
      </x:c>
      <x:c r="Q381" s="83" t="n">
        <x:f>MAX($G$380:$G$385)-G381</x:f>
        <x:v>7.136104267289767</x:v>
      </x:c>
      <x:c r="R381" s="73" t="str">
        <x:f>INDEX(TrackMap!$B$8:$B$141,H381)</x:f>
        <x:v>东侧上行弯</x:v>
      </x:c>
    </x:row>
    <x:row r="382" ht="20" customHeight="1">
      <x:c r="A382" s="73" t="n">
        <x:v>62</x:v>
      </x:c>
      <x:c r="B382" s="73" t="n">
        <x:v>3</x:v>
      </x:c>
      <x:c r="C382" s="73" t="str">
        <x:f>INDEX(Drivers!$B$8:$B$13,B382)</x:f>
        <x:v>金翼</x:v>
      </x:c>
      <x:c r="D382" s="83" t="n">
        <x:f>G376</x:f>
        <x:v>210.69251778665478</x:v>
      </x:c>
      <x:c r="E382" s="83" t="str">
        <x:f>IF(A382=0,"GRID",IF(D382&gt;=Control!$B$17,"FINISHED",IF(AND(A382&gt;=INDEX(Drivers!$G$8:$G$13,B382),A382&lt;INDEX(Drivers!$G$8:$G$13,B382)+INDEX(Drivers!$J$8:$J$13,B382)),"PIT",IF(MOD(A382+INDEX(Drivers!$F$8:$F$13,B382),Control!$B$11)&lt;Control!$B$13,"BOOST","RACE"))))</x:f>
        <x:v>RACE</x:v>
      </x:c>
      <x:c r="F382" s="83" t="n">
        <x:f>IF(OR(E382="GRID",E382="FINISHED",E382="PIT"),0,MAX(Control!$B$15,(INDEX(Drivers!$D$8:$D$13,B382)+INDEX(Drivers!$E$8:$E$13,B382)*SIN((A382+INDEX(Drivers!$F$8:$F$13,B382)+Control!$B$16)*Control!$B$14))*INDEX(TrackMap!$M$8:$M$141,MOD(INT(D382)-1,Control!$B$7)+1)*IF(E382="BOOST",Control!$B$12,1)))</x:f>
        <x:v>3.2570182081268455</x:v>
      </x:c>
      <x:c r="G382" s="83" t="n">
        <x:f>IF(A382=0,D382,MIN(Control!$B$17,D382+F382))</x:f>
        <x:v>213.94953599478163</x:v>
      </x:c>
      <x:c r="H382" s="73" t="n">
        <x:f>MOD(INT(G382)-1,Control!$B$7)+1</x:f>
        <x:v>79</x:v>
      </x:c>
      <x:c r="I382" s="73" t="n">
        <x:f>MIN(Control!$B$6,MAX(1,INT(MAX(0,G382)/Control!$B$7)+1))</x:f>
        <x:v>2</x:v>
      </x:c>
      <x:c r="J382" s="73" t="n">
        <x:f>INDEX(Drivers!$H$8:$H$13,B382)</x:f>
        <x:v>1</x:v>
      </x:c>
      <x:c r="K382" s="73" t="n">
        <x:f>IF(J382=1,INDEX(TrackMap!$I$8:$I$141,H382),INDEX(TrackMap!$L$8:$L$141,H382))</x:f>
        <x:v>848</x:v>
      </x:c>
      <x:c r="L382" s="73" t="str">
        <x:f>INDEX(TrackMap!$F$8:$F$141,H382)</x:f>
        <x:v>→</x:v>
      </x:c>
      <x:c r="M382" s="87" t="n">
        <x:f>MAX(0,G382/Control!$B$17)</x:f>
        <x:v>0.3193276656638532</x:v>
      </x:c>
      <x:c r="N382" s="73" t="n">
        <x:f>IF(N376&gt;0,N376,IF(G382&gt;=Control!$B$17,A382,0))</x:f>
        <x:v>0</x:v>
      </x:c>
      <x:c r="O382" s="91" t="n">
        <x:f>IF(N382&gt;0,Control!$B$17+Control!$B$8+1-N382,G382)-B382/100000</x:f>
        <x:v>213.94950599478162</x:v>
      </x:c>
      <x:c r="P382" s="73" t="n">
        <x:f>COUNTIF($O$380:$O$385,"&gt;"&amp;O382)+1</x:f>
        <x:v>2</x:v>
      </x:c>
      <x:c r="Q382" s="83" t="n">
        <x:f>MAX($G$380:$G$385)-G382</x:f>
        <x:v>4.055259560758259</x:v>
      </x:c>
      <x:c r="R382" s="73" t="str">
        <x:f>INDEX(TrackMap!$B$8:$B$141,H382)</x:f>
        <x:v>东侧发卡弯</x:v>
      </x:c>
    </x:row>
    <x:row r="383" ht="20" customHeight="1">
      <x:c r="A383" s="73" t="n">
        <x:v>62</x:v>
      </x:c>
      <x:c r="B383" s="73" t="n">
        <x:v>4</x:v>
      </x:c>
      <x:c r="C383" s="73" t="str">
        <x:f>INDEX(Drivers!$B$8:$B$13,B383)</x:f>
        <x:v>紫影</x:v>
      </x:c>
      <x:c r="D383" s="83" t="n">
        <x:f>G377</x:f>
        <x:v>207.73021555980384</x:v>
      </x:c>
      <x:c r="E383" s="83" t="str">
        <x:f>IF(A383=0,"GRID",IF(D383&gt;=Control!$B$17,"FINISHED",IF(AND(A383&gt;=INDEX(Drivers!$G$8:$G$13,B383),A383&lt;INDEX(Drivers!$G$8:$G$13,B383)+INDEX(Drivers!$J$8:$J$13,B383)),"PIT",IF(MOD(A383+INDEX(Drivers!$F$8:$F$13,B383),Control!$B$11)&lt;Control!$B$13,"BOOST","RACE"))))</x:f>
        <x:v>RACE</x:v>
      </x:c>
      <x:c r="F383" s="83" t="n">
        <x:f>IF(OR(E383="GRID",E383="FINISHED",E383="PIT"),0,MAX(Control!$B$15,(INDEX(Drivers!$D$8:$D$13,B383)+INDEX(Drivers!$E$8:$E$13,B383)*SIN((A383+INDEX(Drivers!$F$8:$F$13,B383)+Control!$B$16)*Control!$B$14))*INDEX(TrackMap!$M$8:$M$141,MOD(INT(D383)-1,Control!$B$7)+1)*IF(E383="BOOST",Control!$B$12,1)))</x:f>
        <x:v>2.3683861799386485</x:v>
      </x:c>
      <x:c r="G383" s="83" t="n">
        <x:f>IF(A383=0,D383,MIN(Control!$B$17,D383+F383))</x:f>
        <x:v>210.0986017397425</x:v>
      </x:c>
      <x:c r="H383" s="73" t="n">
        <x:f>MOD(INT(G383)-1,Control!$B$7)+1</x:f>
        <x:v>76</x:v>
      </x:c>
      <x:c r="I383" s="73" t="n">
        <x:f>MIN(Control!$B$6,MAX(1,INT(MAX(0,G383)/Control!$B$7)+1))</x:f>
        <x:v>2</x:v>
      </x:c>
      <x:c r="J383" s="73" t="n">
        <x:f>INDEX(Drivers!$H$8:$H$13,B383)</x:f>
        <x:v>2</x:v>
      </x:c>
      <x:c r="K383" s="73" t="n">
        <x:f>IF(J383=1,INDEX(TrackMap!$I$8:$I$141,H383),INDEX(TrackMap!$L$8:$L$141,H383))</x:f>
        <x:v>1045</x:v>
      </x:c>
      <x:c r="L383" s="73" t="str">
        <x:f>INDEX(TrackMap!$F$8:$F$141,H383)</x:f>
        <x:v>↑</x:v>
      </x:c>
      <x:c r="M383" s="87" t="n">
        <x:f>MAX(0,G383/Control!$B$17)</x:f>
        <x:v>0.3135800025966306</x:v>
      </x:c>
      <x:c r="N383" s="73" t="n">
        <x:f>IF(N377&gt;0,N377,IF(G383&gt;=Control!$B$17,A383,0))</x:f>
        <x:v>0</x:v>
      </x:c>
      <x:c r="O383" s="91" t="n">
        <x:f>IF(N383&gt;0,Control!$B$17+Control!$B$8+1-N383,G383)-B383/100000</x:f>
        <x:v>210.09856173974248</x:v>
      </x:c>
      <x:c r="P383" s="73" t="n">
        <x:f>COUNTIF($O$380:$O$385,"&gt;"&amp;O383)+1</x:f>
        <x:v>5</x:v>
      </x:c>
      <x:c r="Q383" s="83" t="n">
        <x:f>MAX($G$380:$G$385)-G383</x:f>
        <x:v>7.906193815797394</x:v>
      </x:c>
      <x:c r="R383" s="73" t="str">
        <x:f>INDEX(TrackMap!$B$8:$B$141,H383)</x:f>
        <x:v>东侧上行弯</x:v>
      </x:c>
    </x:row>
    <x:row r="384" ht="20" customHeight="1">
      <x:c r="A384" s="73" t="n">
        <x:v>62</x:v>
      </x:c>
      <x:c r="B384" s="73" t="n">
        <x:v>5</x:v>
      </x:c>
      <x:c r="C384" s="73" t="str">
        <x:f>INDEX(Drivers!$B$8:$B$13,B384)</x:f>
        <x:v>青锋</x:v>
      </x:c>
      <x:c r="D384" s="83" t="n">
        <x:f>G378</x:f>
        <x:v>207.77426101677307</x:v>
      </x:c>
      <x:c r="E384" s="83" t="str">
        <x:f>IF(A384=0,"GRID",IF(D384&gt;=Control!$B$17,"FINISHED",IF(AND(A384&gt;=INDEX(Drivers!$G$8:$G$13,B384),A384&lt;INDEX(Drivers!$G$8:$G$13,B384)+INDEX(Drivers!$J$8:$J$13,B384)),"PIT",IF(MOD(A384+INDEX(Drivers!$F$8:$F$13,B384),Control!$B$11)&lt;Control!$B$13,"BOOST","RACE"))))</x:f>
        <x:v>RACE</x:v>
      </x:c>
      <x:c r="F384" s="83" t="n">
        <x:f>IF(OR(E384="GRID",E384="FINISHED",E384="PIT"),0,MAX(Control!$B$15,(INDEX(Drivers!$D$8:$D$13,B384)+INDEX(Drivers!$E$8:$E$13,B384)*SIN((A384+INDEX(Drivers!$F$8:$F$13,B384)+Control!$B$16)*Control!$B$14))*INDEX(TrackMap!$M$8:$M$141,MOD(INT(D384)-1,Control!$B$7)+1)*IF(E384="BOOST",Control!$B$12,1)))</x:f>
        <x:v>2.437925114408366</x:v>
      </x:c>
      <x:c r="G384" s="83" t="n">
        <x:f>IF(A384=0,D384,MIN(Control!$B$17,D384+F384))</x:f>
        <x:v>210.21218613118143</x:v>
      </x:c>
      <x:c r="H384" s="73" t="n">
        <x:f>MOD(INT(G384)-1,Control!$B$7)+1</x:f>
        <x:v>76</x:v>
      </x:c>
      <x:c r="I384" s="73" t="n">
        <x:f>MIN(Control!$B$6,MAX(1,INT(MAX(0,G384)/Control!$B$7)+1))</x:f>
        <x:v>2</x:v>
      </x:c>
      <x:c r="J384" s="73" t="n">
        <x:f>INDEX(Drivers!$H$8:$H$13,B384)</x:f>
        <x:v>1</x:v>
      </x:c>
      <x:c r="K384" s="73" t="n">
        <x:f>IF(J384=1,INDEX(TrackMap!$I$8:$I$141,H384),INDEX(TrackMap!$L$8:$L$141,H384))</x:f>
        <x:v>1046</x:v>
      </x:c>
      <x:c r="L384" s="73" t="str">
        <x:f>INDEX(TrackMap!$F$8:$F$141,H384)</x:f>
        <x:v>↑</x:v>
      </x:c>
      <x:c r="M384" s="87" t="n">
        <x:f>MAX(0,G384/Control!$B$17)</x:f>
        <x:v>0.31374953153907675</x:v>
      </x:c>
      <x:c r="N384" s="73" t="n">
        <x:f>IF(N378&gt;0,N378,IF(G384&gt;=Control!$B$17,A384,0))</x:f>
        <x:v>0</x:v>
      </x:c>
      <x:c r="O384" s="91" t="n">
        <x:f>IF(N384&gt;0,Control!$B$17+Control!$B$8+1-N384,G384)-B384/100000</x:f>
        <x:v>210.21213613118144</x:v>
      </x:c>
      <x:c r="P384" s="73" t="n">
        <x:f>COUNTIF($O$380:$O$385,"&gt;"&amp;O384)+1</x:f>
        <x:v>4</x:v>
      </x:c>
      <x:c r="Q384" s="83" t="n">
        <x:f>MAX($G$380:$G$385)-G384</x:f>
        <x:v>7.79260942435846</x:v>
      </x:c>
      <x:c r="R384" s="73" t="str">
        <x:f>INDEX(TrackMap!$B$8:$B$141,H384)</x:f>
        <x:v>东侧上行弯</x:v>
      </x:c>
    </x:row>
    <x:row r="385" ht="20" customHeight="1">
      <x:c r="A385" s="73" t="n">
        <x:v>62</x:v>
      </x:c>
      <x:c r="B385" s="73" t="n">
        <x:v>6</x:v>
      </x:c>
      <x:c r="C385" s="73" t="str">
        <x:f>INDEX(Drivers!$B$8:$B$13,B385)</x:f>
        <x:v>玫速</x:v>
      </x:c>
      <x:c r="D385" s="83" t="n">
        <x:f>G379</x:f>
        <x:v>204.90972539652537</x:v>
      </x:c>
      <x:c r="E385" s="83" t="str">
        <x:f>IF(A385=0,"GRID",IF(D385&gt;=Control!$B$17,"FINISHED",IF(AND(A385&gt;=INDEX(Drivers!$G$8:$G$13,B385),A385&lt;INDEX(Drivers!$G$8:$G$13,B385)+INDEX(Drivers!$J$8:$J$13,B385)),"PIT",IF(MOD(A385+INDEX(Drivers!$F$8:$F$13,B385),Control!$B$11)&lt;Control!$B$13,"BOOST","RACE"))))</x:f>
        <x:v>RACE</x:v>
      </x:c>
      <x:c r="F385" s="83" t="n">
        <x:f>IF(OR(E385="GRID",E385="FINISHED",E385="PIT"),0,MAX(Control!$B$15,(INDEX(Drivers!$D$8:$D$13,B385)+INDEX(Drivers!$E$8:$E$13,B385)*SIN((A385+INDEX(Drivers!$F$8:$F$13,B385)+Control!$B$16)*Control!$B$14))*INDEX(TrackMap!$M$8:$M$141,MOD(INT(D385)-1,Control!$B$7)+1)*IF(E385="BOOST",Control!$B$12,1)))</x:f>
        <x:v>3.197557196354746</x:v>
      </x:c>
      <x:c r="G385" s="83" t="n">
        <x:f>IF(A385=0,D385,MIN(Control!$B$17,D385+F385))</x:f>
        <x:v>208.10728259288013</x:v>
      </x:c>
      <x:c r="H385" s="73" t="n">
        <x:f>MOD(INT(G385)-1,Control!$B$7)+1</x:f>
        <x:v>74</x:v>
      </x:c>
      <x:c r="I385" s="73" t="n">
        <x:f>MIN(Control!$B$6,MAX(1,INT(MAX(0,G385)/Control!$B$7)+1))</x:f>
        <x:v>2</x:v>
      </x:c>
      <x:c r="J385" s="73" t="n">
        <x:f>INDEX(Drivers!$H$8:$H$13,B385)</x:f>
        <x:v>2</x:v>
      </x:c>
      <x:c r="K385" s="73" t="n">
        <x:f>IF(J385=1,INDEX(TrackMap!$I$8:$I$141,H385),INDEX(TrackMap!$L$8:$L$141,H385))</x:f>
        <x:v>1245</x:v>
      </x:c>
      <x:c r="L385" s="73" t="str">
        <x:f>INDEX(TrackMap!$F$8:$F$141,H385)</x:f>
        <x:v>↑</x:v>
      </x:c>
      <x:c r="M385" s="87" t="n">
        <x:f>MAX(0,G385/Control!$B$17)</x:f>
        <x:v>0.3106078844669853</x:v>
      </x:c>
      <x:c r="N385" s="73" t="n">
        <x:f>IF(N379&gt;0,N379,IF(G385&gt;=Control!$B$17,A385,0))</x:f>
        <x:v>0</x:v>
      </x:c>
      <x:c r="O385" s="91" t="n">
        <x:f>IF(N385&gt;0,Control!$B$17+Control!$B$8+1-N385,G385)-B385/100000</x:f>
        <x:v>208.10722259288013</x:v>
      </x:c>
      <x:c r="P385" s="73" t="n">
        <x:f>COUNTIF($O$380:$O$385,"&gt;"&amp;O385)+1</x:f>
        <x:v>6</x:v>
      </x:c>
      <x:c r="Q385" s="83" t="n">
        <x:f>MAX($G$380:$G$385)-G385</x:f>
        <x:v>9.89751296265976</x:v>
      </x:c>
      <x:c r="R385" s="73" t="str">
        <x:f>INDEX(TrackMap!$B$8:$B$141,H385)</x:f>
        <x:v>东侧上行弯</x:v>
      </x:c>
    </x:row>
    <x:row r="386" ht="20" customHeight="1">
      <x:c r="A386" s="73" t="n">
        <x:v>63</x:v>
      </x:c>
      <x:c r="B386" s="73" t="n">
        <x:v>1</x:v>
      </x:c>
      <x:c r="C386" s="73" t="str">
        <x:f>INDEX(Drivers!$B$8:$B$13,B386)</x:f>
        <x:v>赤焰</x:v>
      </x:c>
      <x:c r="D386" s="83" t="n">
        <x:f>G380</x:f>
        <x:v>218.00479555553989</x:v>
      </x:c>
      <x:c r="E386" s="83" t="str">
        <x:f>IF(A386=0,"GRID",IF(D386&gt;=Control!$B$17,"FINISHED",IF(AND(A386&gt;=INDEX(Drivers!$G$8:$G$13,B386),A386&lt;INDEX(Drivers!$G$8:$G$13,B386)+INDEX(Drivers!$J$8:$J$13,B386)),"PIT",IF(MOD(A386+INDEX(Drivers!$F$8:$F$13,B386),Control!$B$11)&lt;Control!$B$13,"BOOST","RACE"))))</x:f>
        <x:v>BOOST</x:v>
      </x:c>
      <x:c r="F386" s="83" t="n">
        <x:f>IF(OR(E386="GRID",E386="FINISHED",E386="PIT"),0,MAX(Control!$B$15,(INDEX(Drivers!$D$8:$D$13,B386)+INDEX(Drivers!$E$8:$E$13,B386)*SIN((A386+INDEX(Drivers!$F$8:$F$13,B386)+Control!$B$16)*Control!$B$14))*INDEX(TrackMap!$M$8:$M$141,MOD(INT(D386)-1,Control!$B$7)+1)*IF(E386="BOOST",Control!$B$12,1)))</x:f>
        <x:v>4.768606364580699</x:v>
      </x:c>
      <x:c r="G386" s="83" t="n">
        <x:f>IF(A386=0,D386,MIN(Control!$B$17,D386+F386))</x:f>
        <x:v>222.7734019201206</x:v>
      </x:c>
      <x:c r="H386" s="73" t="n">
        <x:f>MOD(INT(G386)-1,Control!$B$7)+1</x:f>
        <x:v>88</x:v>
      </x:c>
      <x:c r="I386" s="73" t="n">
        <x:f>MIN(Control!$B$6,MAX(1,INT(MAX(0,G386)/Control!$B$7)+1))</x:f>
        <x:v>2</x:v>
      </x:c>
      <x:c r="J386" s="73" t="n">
        <x:f>INDEX(Drivers!$H$8:$H$13,B386)</x:f>
        <x:v>1</x:v>
      </x:c>
      <x:c r="K386" s="73" t="n">
        <x:f>IF(J386=1,INDEX(TrackMap!$I$8:$I$141,H386),INDEX(TrackMap!$L$8:$L$141,H386))</x:f>
        <x:v>1752</x:v>
      </x:c>
      <x:c r="L386" s="73" t="str">
        <x:f>INDEX(TrackMap!$F$8:$F$141,H386)</x:f>
        <x:v>↓</x:v>
      </x:c>
      <x:c r="M386" s="87" t="n">
        <x:f>MAX(0,G386/Control!$B$17)</x:f>
        <x:v>0.33249761480615014</x:v>
      </x:c>
      <x:c r="N386" s="73" t="n">
        <x:f>IF(N380&gt;0,N380,IF(G386&gt;=Control!$B$17,A386,0))</x:f>
        <x:v>0</x:v>
      </x:c>
      <x:c r="O386" s="91" t="n">
        <x:f>IF(N386&gt;0,Control!$B$17+Control!$B$8+1-N386,G386)-B386/100000</x:f>
        <x:v>222.7733919201206</x:v>
      </x:c>
      <x:c r="P386" s="73" t="n">
        <x:f>COUNTIF($O$386:$O$391,"&gt;"&amp;O386)+1</x:f>
        <x:v>1</x:v>
      </x:c>
      <x:c r="Q386" s="83" t="n">
        <x:f>MAX($G$386:$G$391)-G386</x:f>
        <x:v>0</x:v>
      </x:c>
      <x:c r="R386" s="73" t="str">
        <x:f>INDEX(TrackMap!$B$8:$B$141,H386)</x:f>
        <x:v>东侧长直道</x:v>
      </x:c>
    </x:row>
    <x:row r="387" ht="20" customHeight="1">
      <x:c r="A387" s="73" t="n">
        <x:v>63</x:v>
      </x:c>
      <x:c r="B387" s="73" t="n">
        <x:v>2</x:v>
      </x:c>
      <x:c r="C387" s="73" t="str">
        <x:f>INDEX(Drivers!$B$8:$B$13,B387)</x:f>
        <x:v>蓝电</x:v>
      </x:c>
      <x:c r="D387" s="83" t="n">
        <x:f>G381</x:f>
        <x:v>210.86869128825012</x:v>
      </x:c>
      <x:c r="E387" s="83" t="str">
        <x:f>IF(A387=0,"GRID",IF(D387&gt;=Control!$B$17,"FINISHED",IF(AND(A387&gt;=INDEX(Drivers!$G$8:$G$13,B387),A387&lt;INDEX(Drivers!$G$8:$G$13,B387)+INDEX(Drivers!$J$8:$J$13,B387)),"PIT",IF(MOD(A387+INDEX(Drivers!$F$8:$F$13,B387),Control!$B$11)&lt;Control!$B$13,"BOOST","RACE"))))</x:f>
        <x:v>RACE</x:v>
      </x:c>
      <x:c r="F387" s="83" t="n">
        <x:f>IF(OR(E387="GRID",E387="FINISHED",E387="PIT"),0,MAX(Control!$B$15,(INDEX(Drivers!$D$8:$D$13,B387)+INDEX(Drivers!$E$8:$E$13,B387)*SIN((A387+INDEX(Drivers!$F$8:$F$13,B387)+Control!$B$16)*Control!$B$14))*INDEX(TrackMap!$M$8:$M$141,MOD(INT(D387)-1,Control!$B$7)+1)*IF(E387="BOOST",Control!$B$12,1)))</x:f>
        <x:v>2.6381265805359178</x:v>
      </x:c>
      <x:c r="G387" s="83" t="n">
        <x:f>IF(A387=0,D387,MIN(Control!$B$17,D387+F387))</x:f>
        <x:v>213.50681786878604</x:v>
      </x:c>
      <x:c r="H387" s="73" t="n">
        <x:f>MOD(INT(G387)-1,Control!$B$7)+1</x:f>
        <x:v>79</x:v>
      </x:c>
      <x:c r="I387" s="73" t="n">
        <x:f>MIN(Control!$B$6,MAX(1,INT(MAX(0,G387)/Control!$B$7)+1))</x:f>
        <x:v>2</x:v>
      </x:c>
      <x:c r="J387" s="73" t="n">
        <x:f>INDEX(Drivers!$H$8:$H$13,B387)</x:f>
        <x:v>2</x:v>
      </x:c>
      <x:c r="K387" s="73" t="n">
        <x:f>IF(J387=1,INDEX(TrackMap!$I$8:$I$141,H387),INDEX(TrackMap!$L$8:$L$141,H387))</x:f>
        <x:v>948</x:v>
      </x:c>
      <x:c r="L387" s="73" t="str">
        <x:f>INDEX(TrackMap!$F$8:$F$141,H387)</x:f>
        <x:v>→</x:v>
      </x:c>
      <x:c r="M387" s="87" t="n">
        <x:f>MAX(0,G387/Control!$B$17)</x:f>
        <x:v>0.3186668923414717</x:v>
      </x:c>
      <x:c r="N387" s="73" t="n">
        <x:f>IF(N381&gt;0,N381,IF(G387&gt;=Control!$B$17,A387,0))</x:f>
        <x:v>0</x:v>
      </x:c>
      <x:c r="O387" s="91" t="n">
        <x:f>IF(N387&gt;0,Control!$B$17+Control!$B$8+1-N387,G387)-B387/100000</x:f>
        <x:v>213.50679786878604</x:v>
      </x:c>
      <x:c r="P387" s="73" t="n">
        <x:f>COUNTIF($O$386:$O$391,"&gt;"&amp;O387)+1</x:f>
        <x:v>3</x:v>
      </x:c>
      <x:c r="Q387" s="83" t="n">
        <x:f>MAX($G$386:$G$391)-G387</x:f>
        <x:v>9.266584051334547</x:v>
      </x:c>
      <x:c r="R387" s="73" t="str">
        <x:f>INDEX(TrackMap!$B$8:$B$141,H387)</x:f>
        <x:v>东侧发卡弯</x:v>
      </x:c>
    </x:row>
    <x:row r="388" ht="20" customHeight="1">
      <x:c r="A388" s="73" t="n">
        <x:v>63</x:v>
      </x:c>
      <x:c r="B388" s="73" t="n">
        <x:v>3</x:v>
      </x:c>
      <x:c r="C388" s="73" t="str">
        <x:f>INDEX(Drivers!$B$8:$B$13,B388)</x:f>
        <x:v>金翼</x:v>
      </x:c>
      <x:c r="D388" s="83" t="n">
        <x:f>G382</x:f>
        <x:v>213.94953599478163</x:v>
      </x:c>
      <x:c r="E388" s="83" t="str">
        <x:f>IF(A388=0,"GRID",IF(D388&gt;=Control!$B$17,"FINISHED",IF(AND(A388&gt;=INDEX(Drivers!$G$8:$G$13,B388),A388&lt;INDEX(Drivers!$G$8:$G$13,B388)+INDEX(Drivers!$J$8:$J$13,B388)),"PIT",IF(MOD(A388+INDEX(Drivers!$F$8:$F$13,B388),Control!$B$11)&lt;Control!$B$13,"BOOST","RACE"))))</x:f>
        <x:v>RACE</x:v>
      </x:c>
      <x:c r="F388" s="83" t="n">
        <x:f>IF(OR(E388="GRID",E388="FINISHED",E388="PIT"),0,MAX(Control!$B$15,(INDEX(Drivers!$D$8:$D$13,B388)+INDEX(Drivers!$E$8:$E$13,B388)*SIN((A388+INDEX(Drivers!$F$8:$F$13,B388)+Control!$B$16)*Control!$B$14))*INDEX(TrackMap!$M$8:$M$141,MOD(INT(D388)-1,Control!$B$7)+1)*IF(E388="BOOST",Control!$B$12,1)))</x:f>
        <x:v>3.188448083318297</x:v>
      </x:c>
      <x:c r="G388" s="83" t="n">
        <x:f>IF(A388=0,D388,MIN(Control!$B$17,D388+F388))</x:f>
        <x:v>217.13798407809992</x:v>
      </x:c>
      <x:c r="H388" s="73" t="n">
        <x:f>MOD(INT(G388)-1,Control!$B$7)+1</x:f>
        <x:v>83</x:v>
      </x:c>
      <x:c r="I388" s="73" t="n">
        <x:f>MIN(Control!$B$6,MAX(1,INT(MAX(0,G388)/Control!$B$7)+1))</x:f>
        <x:v>2</x:v>
      </x:c>
      <x:c r="J388" s="73" t="n">
        <x:f>INDEX(Drivers!$H$8:$H$13,B388)</x:f>
        <x:v>1</x:v>
      </x:c>
      <x:c r="K388" s="73" t="n">
        <x:f>IF(J388=1,INDEX(TrackMap!$I$8:$I$141,H388),INDEX(TrackMap!$L$8:$L$141,H388))</x:f>
        <x:v>1252</x:v>
      </x:c>
      <x:c r="L388" s="73" t="str">
        <x:f>INDEX(TrackMap!$F$8:$F$141,H388)</x:f>
        <x:v>↓</x:v>
      </x:c>
      <x:c r="M388" s="87" t="n">
        <x:f>MAX(0,G388/Control!$B$17)</x:f>
        <x:v>0.32408654340014914</x:v>
      </x:c>
      <x:c r="N388" s="73" t="n">
        <x:f>IF(N382&gt;0,N382,IF(G388&gt;=Control!$B$17,A388,0))</x:f>
        <x:v>0</x:v>
      </x:c>
      <x:c r="O388" s="91" t="n">
        <x:f>IF(N388&gt;0,Control!$B$17+Control!$B$8+1-N388,G388)-B388/100000</x:f>
        <x:v>217.1379540780999</x:v>
      </x:c>
      <x:c r="P388" s="73" t="n">
        <x:f>COUNTIF($O$386:$O$391,"&gt;"&amp;O388)+1</x:f>
        <x:v>2</x:v>
      </x:c>
      <x:c r="Q388" s="83" t="n">
        <x:f>MAX($G$386:$G$391)-G388</x:f>
        <x:v>5.635417842020672</x:v>
      </x:c>
      <x:c r="R388" s="73" t="str">
        <x:f>INDEX(TrackMap!$B$8:$B$141,H388)</x:f>
        <x:v>东侧长直道</x:v>
      </x:c>
    </x:row>
    <x:row r="389" ht="20" customHeight="1">
      <x:c r="A389" s="73" t="n">
        <x:v>63</x:v>
      </x:c>
      <x:c r="B389" s="73" t="n">
        <x:v>4</x:v>
      </x:c>
      <x:c r="C389" s="73" t="str">
        <x:f>INDEX(Drivers!$B$8:$B$13,B389)</x:f>
        <x:v>紫影</x:v>
      </x:c>
      <x:c r="D389" s="83" t="n">
        <x:f>G383</x:f>
        <x:v>210.0986017397425</x:v>
      </x:c>
      <x:c r="E389" s="83" t="str">
        <x:f>IF(A389=0,"GRID",IF(D389&gt;=Control!$B$17,"FINISHED",IF(AND(A389&gt;=INDEX(Drivers!$G$8:$G$13,B389),A389&lt;INDEX(Drivers!$G$8:$G$13,B389)+INDEX(Drivers!$J$8:$J$13,B389)),"PIT",IF(MOD(A389+INDEX(Drivers!$F$8:$F$13,B389),Control!$B$11)&lt;Control!$B$13,"BOOST","RACE"))))</x:f>
        <x:v>RACE</x:v>
      </x:c>
      <x:c r="F389" s="83" t="n">
        <x:f>IF(OR(E389="GRID",E389="FINISHED",E389="PIT"),0,MAX(Control!$B$15,(INDEX(Drivers!$D$8:$D$13,B389)+INDEX(Drivers!$E$8:$E$13,B389)*SIN((A389+INDEX(Drivers!$F$8:$F$13,B389)+Control!$B$16)*Control!$B$14))*INDEX(TrackMap!$M$8:$M$141,MOD(INT(D389)-1,Control!$B$7)+1)*IF(E389="BOOST",Control!$B$12,1)))</x:f>
        <x:v>2.359516824710802</x:v>
      </x:c>
      <x:c r="G389" s="83" t="n">
        <x:f>IF(A389=0,D389,MIN(Control!$B$17,D389+F389))</x:f>
        <x:v>212.4581185644533</x:v>
      </x:c>
      <x:c r="H389" s="73" t="n">
        <x:f>MOD(INT(G389)-1,Control!$B$7)+1</x:f>
        <x:v>78</x:v>
      </x:c>
      <x:c r="I389" s="73" t="n">
        <x:f>MIN(Control!$B$6,MAX(1,INT(MAX(0,G389)/Control!$B$7)+1))</x:f>
        <x:v>2</x:v>
      </x:c>
      <x:c r="J389" s="73" t="n">
        <x:f>INDEX(Drivers!$H$8:$H$13,B389)</x:f>
        <x:v>2</x:v>
      </x:c>
      <x:c r="K389" s="73" t="n">
        <x:f>IF(J389=1,INDEX(TrackMap!$I$8:$I$141,H389),INDEX(TrackMap!$L$8:$L$141,H389))</x:f>
        <x:v>947</x:v>
      </x:c>
      <x:c r="L389" s="73" t="str">
        <x:f>INDEX(TrackMap!$F$8:$F$141,H389)</x:f>
        <x:v>→</x:v>
      </x:c>
      <x:c r="M389" s="87" t="n">
        <x:f>MAX(0,G389/Control!$B$17)</x:f>
        <x:v>0.317101669499184</x:v>
      </x:c>
      <x:c r="N389" s="73" t="n">
        <x:f>IF(N383&gt;0,N383,IF(G389&gt;=Control!$B$17,A389,0))</x:f>
        <x:v>0</x:v>
      </x:c>
      <x:c r="O389" s="91" t="n">
        <x:f>IF(N389&gt;0,Control!$B$17+Control!$B$8+1-N389,G389)-B389/100000</x:f>
        <x:v>212.45807856445327</x:v>
      </x:c>
      <x:c r="P389" s="73" t="n">
        <x:f>COUNTIF($O$386:$O$391,"&gt;"&amp;O389)+1</x:f>
        <x:v>5</x:v>
      </x:c>
      <x:c r="Q389" s="83" t="n">
        <x:f>MAX($G$386:$G$391)-G389</x:f>
        <x:v>10.315283355667304</x:v>
      </x:c>
      <x:c r="R389" s="73" t="str">
        <x:f>INDEX(TrackMap!$B$8:$B$141,H389)</x:f>
        <x:v>东侧发卡弯</x:v>
      </x:c>
    </x:row>
    <x:row r="390" ht="20" customHeight="1">
      <x:c r="A390" s="73" t="n">
        <x:v>63</x:v>
      </x:c>
      <x:c r="B390" s="73" t="n">
        <x:v>5</x:v>
      </x:c>
      <x:c r="C390" s="73" t="str">
        <x:f>INDEX(Drivers!$B$8:$B$13,B390)</x:f>
        <x:v>青锋</x:v>
      </x:c>
      <x:c r="D390" s="83" t="n">
        <x:f>G384</x:f>
        <x:v>210.21218613118143</x:v>
      </x:c>
      <x:c r="E390" s="83" t="str">
        <x:f>IF(A390=0,"GRID",IF(D390&gt;=Control!$B$17,"FINISHED",IF(AND(A390&gt;=INDEX(Drivers!$G$8:$G$13,B390),A390&lt;INDEX(Drivers!$G$8:$G$13,B390)+INDEX(Drivers!$J$8:$J$13,B390)),"PIT",IF(MOD(A390+INDEX(Drivers!$F$8:$F$13,B390),Control!$B$11)&lt;Control!$B$13,"BOOST","RACE"))))</x:f>
        <x:v>RACE</x:v>
      </x:c>
      <x:c r="F390" s="83" t="n">
        <x:f>IF(OR(E390="GRID",E390="FINISHED",E390="PIT"),0,MAX(Control!$B$15,(INDEX(Drivers!$D$8:$D$13,B390)+INDEX(Drivers!$E$8:$E$13,B390)*SIN((A390+INDEX(Drivers!$F$8:$F$13,B390)+Control!$B$16)*Control!$B$14))*INDEX(TrackMap!$M$8:$M$141,MOD(INT(D390)-1,Control!$B$7)+1)*IF(E390="BOOST",Control!$B$12,1)))</x:f>
        <x:v>2.4289580451600505</x:v>
      </x:c>
      <x:c r="G390" s="83" t="n">
        <x:f>IF(A390=0,D390,MIN(Control!$B$17,D390+F390))</x:f>
        <x:v>212.64114417634147</x:v>
      </x:c>
      <x:c r="H390" s="73" t="n">
        <x:f>MOD(INT(G390)-1,Control!$B$7)+1</x:f>
        <x:v>78</x:v>
      </x:c>
      <x:c r="I390" s="73" t="n">
        <x:f>MIN(Control!$B$6,MAX(1,INT(MAX(0,G390)/Control!$B$7)+1))</x:f>
        <x:v>2</x:v>
      </x:c>
      <x:c r="J390" s="73" t="n">
        <x:f>INDEX(Drivers!$H$8:$H$13,B390)</x:f>
        <x:v>1</x:v>
      </x:c>
      <x:c r="K390" s="73" t="n">
        <x:f>IF(J390=1,INDEX(TrackMap!$I$8:$I$141,H390),INDEX(TrackMap!$L$8:$L$141,H390))</x:f>
        <x:v>847</x:v>
      </x:c>
      <x:c r="L390" s="73" t="str">
        <x:f>INDEX(TrackMap!$F$8:$F$141,H390)</x:f>
        <x:v>→</x:v>
      </x:c>
      <x:c r="M390" s="87" t="n">
        <x:f>MAX(0,G390/Control!$B$17)</x:f>
        <x:v>0.317374842054241</x:v>
      </x:c>
      <x:c r="N390" s="73" t="n">
        <x:f>IF(N384&gt;0,N384,IF(G390&gt;=Control!$B$17,A390,0))</x:f>
        <x:v>0</x:v>
      </x:c>
      <x:c r="O390" s="91" t="n">
        <x:f>IF(N390&gt;0,Control!$B$17+Control!$B$8+1-N390,G390)-B390/100000</x:f>
        <x:v>212.64109417634148</x:v>
      </x:c>
      <x:c r="P390" s="73" t="n">
        <x:f>COUNTIF($O$386:$O$391,"&gt;"&amp;O390)+1</x:f>
        <x:v>4</x:v>
      </x:c>
      <x:c r="Q390" s="83" t="n">
        <x:f>MAX($G$386:$G$391)-G390</x:f>
        <x:v>10.132257743779121</x:v>
      </x:c>
      <x:c r="R390" s="73" t="str">
        <x:f>INDEX(TrackMap!$B$8:$B$141,H390)</x:f>
        <x:v>东侧发卡弯</x:v>
      </x:c>
    </x:row>
    <x:row r="391" ht="20" customHeight="1">
      <x:c r="A391" s="73" t="n">
        <x:v>63</x:v>
      </x:c>
      <x:c r="B391" s="73" t="n">
        <x:v>6</x:v>
      </x:c>
      <x:c r="C391" s="73" t="str">
        <x:f>INDEX(Drivers!$B$8:$B$13,B391)</x:f>
        <x:v>玫速</x:v>
      </x:c>
      <x:c r="D391" s="83" t="n">
        <x:f>G385</x:f>
        <x:v>208.10728259288013</x:v>
      </x:c>
      <x:c r="E391" s="83" t="str">
        <x:f>IF(A391=0,"GRID",IF(D391&gt;=Control!$B$17,"FINISHED",IF(AND(A391&gt;=INDEX(Drivers!$G$8:$G$13,B391),A391&lt;INDEX(Drivers!$G$8:$G$13,B391)+INDEX(Drivers!$J$8:$J$13,B391)),"PIT",IF(MOD(A391+INDEX(Drivers!$F$8:$F$13,B391),Control!$B$11)&lt;Control!$B$13,"BOOST","RACE"))))</x:f>
        <x:v>RACE</x:v>
      </x:c>
      <x:c r="F391" s="83" t="n">
        <x:f>IF(OR(E391="GRID",E391="FINISHED",E391="PIT"),0,MAX(Control!$B$15,(INDEX(Drivers!$D$8:$D$13,B391)+INDEX(Drivers!$E$8:$E$13,B391)*SIN((A391+INDEX(Drivers!$F$8:$F$13,B391)+Control!$B$16)*Control!$B$14))*INDEX(TrackMap!$M$8:$M$141,MOD(INT(D391)-1,Control!$B$7)+1)*IF(E391="BOOST",Control!$B$12,1)))</x:f>
        <x:v>3.296433040266019</x:v>
      </x:c>
      <x:c r="G391" s="83" t="n">
        <x:f>IF(A391=0,D391,MIN(Control!$B$17,D391+F391))</x:f>
        <x:v>211.40371563314613</x:v>
      </x:c>
      <x:c r="H391" s="73" t="n">
        <x:f>MOD(INT(G391)-1,Control!$B$7)+1</x:f>
        <x:v>77</x:v>
      </x:c>
      <x:c r="I391" s="73" t="n">
        <x:f>MIN(Control!$B$6,MAX(1,INT(MAX(0,G391)/Control!$B$7)+1))</x:f>
        <x:v>2</x:v>
      </x:c>
      <x:c r="J391" s="73" t="n">
        <x:f>INDEX(Drivers!$H$8:$H$13,B391)</x:f>
        <x:v>2</x:v>
      </x:c>
      <x:c r="K391" s="73" t="n">
        <x:f>IF(J391=1,INDEX(TrackMap!$I$8:$I$141,H391),INDEX(TrackMap!$L$8:$L$141,H391))</x:f>
        <x:v>946</x:v>
      </x:c>
      <x:c r="L391" s="73" t="str">
        <x:f>INDEX(TrackMap!$F$8:$F$141,H391)</x:f>
        <x:v>→</x:v>
      </x:c>
      <x:c r="M391" s="87" t="n">
        <x:f>MAX(0,G391/Control!$B$17)</x:f>
        <x:v>0.3155279337808151</x:v>
      </x:c>
      <x:c r="N391" s="73" t="n">
        <x:f>IF(N385&gt;0,N385,IF(G391&gt;=Control!$B$17,A391,0))</x:f>
        <x:v>0</x:v>
      </x:c>
      <x:c r="O391" s="91" t="n">
        <x:f>IF(N391&gt;0,Control!$B$17+Control!$B$8+1-N391,G391)-B391/100000</x:f>
        <x:v>211.40365563314614</x:v>
      </x:c>
      <x:c r="P391" s="73" t="n">
        <x:f>COUNTIF($O$386:$O$391,"&gt;"&amp;O391)+1</x:f>
        <x:v>6</x:v>
      </x:c>
      <x:c r="Q391" s="83" t="n">
        <x:f>MAX($G$386:$G$391)-G391</x:f>
        <x:v>11.369686286974456</x:v>
      </x:c>
      <x:c r="R391" s="73" t="str">
        <x:f>INDEX(TrackMap!$B$8:$B$141,H391)</x:f>
        <x:v>东侧发卡弯</x:v>
      </x:c>
    </x:row>
    <x:row r="392" ht="20" customHeight="1">
      <x:c r="A392" s="73" t="n">
        <x:v>64</x:v>
      </x:c>
      <x:c r="B392" s="73" t="n">
        <x:v>1</x:v>
      </x:c>
      <x:c r="C392" s="73" t="str">
        <x:f>INDEX(Drivers!$B$8:$B$13,B392)</x:f>
        <x:v>赤焰</x:v>
      </x:c>
      <x:c r="D392" s="83" t="n">
        <x:f>G386</x:f>
        <x:v>222.7734019201206</x:v>
      </x:c>
      <x:c r="E392" s="83" t="str">
        <x:f>IF(A392=0,"GRID",IF(D392&gt;=Control!$B$17,"FINISHED",IF(AND(A392&gt;=INDEX(Drivers!$G$8:$G$13,B392),A392&lt;INDEX(Drivers!$G$8:$G$13,B392)+INDEX(Drivers!$J$8:$J$13,B392)),"PIT",IF(MOD(A392+INDEX(Drivers!$F$8:$F$13,B392),Control!$B$11)&lt;Control!$B$13,"BOOST","RACE"))))</x:f>
        <x:v>RACE</x:v>
      </x:c>
      <x:c r="F392" s="83" t="n">
        <x:f>IF(OR(E392="GRID",E392="FINISHED",E392="PIT"),0,MAX(Control!$B$15,(INDEX(Drivers!$D$8:$D$13,B392)+INDEX(Drivers!$E$8:$E$13,B392)*SIN((A392+INDEX(Drivers!$F$8:$F$13,B392)+Control!$B$16)*Control!$B$14))*INDEX(TrackMap!$M$8:$M$141,MOD(INT(D392)-1,Control!$B$7)+1)*IF(E392="BOOST",Control!$B$12,1)))</x:f>
        <x:v>3.3459849644172093</x:v>
      </x:c>
      <x:c r="G392" s="83" t="n">
        <x:f>IF(A392=0,D392,MIN(Control!$B$17,D392+F392))</x:f>
        <x:v>226.1193868845378</x:v>
      </x:c>
      <x:c r="H392" s="73" t="n">
        <x:f>MOD(INT(G392)-1,Control!$B$7)+1</x:f>
        <x:v>92</x:v>
      </x:c>
      <x:c r="I392" s="73" t="n">
        <x:f>MIN(Control!$B$6,MAX(1,INT(MAX(0,G392)/Control!$B$7)+1))</x:f>
        <x:v>2</x:v>
      </x:c>
      <x:c r="J392" s="73" t="n">
        <x:f>INDEX(Drivers!$H$8:$H$13,B392)</x:f>
        <x:v>1</x:v>
      </x:c>
      <x:c r="K392" s="73" t="n">
        <x:f>IF(J392=1,INDEX(TrackMap!$I$8:$I$141,H392),INDEX(TrackMap!$L$8:$L$141,H392))</x:f>
        <x:v>2152</x:v>
      </x:c>
      <x:c r="L392" s="73" t="str">
        <x:f>INDEX(TrackMap!$F$8:$F$141,H392)</x:f>
        <x:v>↓</x:v>
      </x:c>
      <x:c r="M392" s="87" t="n">
        <x:f>MAX(0,G392/Control!$B$17)</x:f>
        <x:v>0.33749162221572804</x:v>
      </x:c>
      <x:c r="N392" s="73" t="n">
        <x:f>IF(N386&gt;0,N386,IF(G392&gt;=Control!$B$17,A392,0))</x:f>
        <x:v>0</x:v>
      </x:c>
      <x:c r="O392" s="91" t="n">
        <x:f>IF(N392&gt;0,Control!$B$17+Control!$B$8+1-N392,G392)-B392/100000</x:f>
        <x:v>226.1193768845378</x:v>
      </x:c>
      <x:c r="P392" s="73" t="n">
        <x:f>COUNTIF($O$392:$O$397,"&gt;"&amp;O392)+1</x:f>
        <x:v>1</x:v>
      </x:c>
      <x:c r="Q392" s="83" t="n">
        <x:f>MAX($G$392:$G$397)-G392</x:f>
        <x:v>0</x:v>
      </x:c>
      <x:c r="R392" s="73" t="str">
        <x:f>INDEX(TrackMap!$B$8:$B$141,H392)</x:f>
        <x:v>东侧长直道</x:v>
      </x:c>
    </x:row>
    <x:row r="393" ht="20" customHeight="1">
      <x:c r="A393" s="73" t="n">
        <x:v>64</x:v>
      </x:c>
      <x:c r="B393" s="73" t="n">
        <x:v>2</x:v>
      </x:c>
      <x:c r="C393" s="73" t="str">
        <x:f>INDEX(Drivers!$B$8:$B$13,B393)</x:f>
        <x:v>蓝电</x:v>
      </x:c>
      <x:c r="D393" s="83" t="n">
        <x:f>G387</x:f>
        <x:v>213.50681786878604</x:v>
      </x:c>
      <x:c r="E393" s="83" t="str">
        <x:f>IF(A393=0,"GRID",IF(D393&gt;=Control!$B$17,"FINISHED",IF(AND(A393&gt;=INDEX(Drivers!$G$8:$G$13,B393),A393&lt;INDEX(Drivers!$G$8:$G$13,B393)+INDEX(Drivers!$J$8:$J$13,B393)),"PIT",IF(MOD(A393+INDEX(Drivers!$F$8:$F$13,B393),Control!$B$11)&lt;Control!$B$13,"BOOST","RACE"))))</x:f>
        <x:v>RACE</x:v>
      </x:c>
      <x:c r="F393" s="83" t="n">
        <x:f>IF(OR(E393="GRID",E393="FINISHED",E393="PIT"),0,MAX(Control!$B$15,(INDEX(Drivers!$D$8:$D$13,B393)+INDEX(Drivers!$E$8:$E$13,B393)*SIN((A393+INDEX(Drivers!$F$8:$F$13,B393)+Control!$B$16)*Control!$B$14))*INDEX(TrackMap!$M$8:$M$141,MOD(INT(D393)-1,Control!$B$7)+1)*IF(E393="BOOST",Control!$B$12,1)))</x:f>
        <x:v>2.808343295751581</x:v>
      </x:c>
      <x:c r="G393" s="83" t="n">
        <x:f>IF(A393=0,D393,MIN(Control!$B$17,D393+F393))</x:f>
        <x:v>216.3151611645376</x:v>
      </x:c>
      <x:c r="H393" s="73" t="n">
        <x:f>MOD(INT(G393)-1,Control!$B$7)+1</x:f>
        <x:v>82</x:v>
      </x:c>
      <x:c r="I393" s="73" t="n">
        <x:f>MIN(Control!$B$6,MAX(1,INT(MAX(0,G393)/Control!$B$7)+1))</x:f>
        <x:v>2</x:v>
      </x:c>
      <x:c r="J393" s="73" t="n">
        <x:f>INDEX(Drivers!$H$8:$H$13,B393)</x:f>
        <x:v>2</x:v>
      </x:c>
      <x:c r="K393" s="73" t="n">
        <x:f>IF(J393=1,INDEX(TrackMap!$I$8:$I$141,H393),INDEX(TrackMap!$L$8:$L$141,H393))</x:f>
        <x:v>1151</x:v>
      </x:c>
      <x:c r="L393" s="73" t="str">
        <x:f>INDEX(TrackMap!$F$8:$F$141,H393)</x:f>
        <x:v>↓</x:v>
      </x:c>
      <x:c r="M393" s="87" t="n">
        <x:f>MAX(0,G393/Control!$B$17)</x:f>
        <x:v>0.32285844949930986</x:v>
      </x:c>
      <x:c r="N393" s="73" t="n">
        <x:f>IF(N387&gt;0,N387,IF(G393&gt;=Control!$B$17,A393,0))</x:f>
        <x:v>0</x:v>
      </x:c>
      <x:c r="O393" s="91" t="n">
        <x:f>IF(N393&gt;0,Control!$B$17+Control!$B$8+1-N393,G393)-B393/100000</x:f>
        <x:v>216.3151411645376</x:v>
      </x:c>
      <x:c r="P393" s="73" t="n">
        <x:f>COUNTIF($O$392:$O$397,"&gt;"&amp;O393)+1</x:f>
        <x:v>3</x:v>
      </x:c>
      <x:c r="Q393" s="83" t="n">
        <x:f>MAX($G$392:$G$397)-G393</x:f>
        <x:v>9.804225720000176</x:v>
      </x:c>
      <x:c r="R393" s="73" t="str">
        <x:f>INDEX(TrackMap!$B$8:$B$141,H393)</x:f>
        <x:v>东侧长直道</x:v>
      </x:c>
    </x:row>
    <x:row r="394" ht="20" customHeight="1">
      <x:c r="A394" s="73" t="n">
        <x:v>64</x:v>
      </x:c>
      <x:c r="B394" s="73" t="n">
        <x:v>3</x:v>
      </x:c>
      <x:c r="C394" s="73" t="str">
        <x:f>INDEX(Drivers!$B$8:$B$13,B394)</x:f>
        <x:v>金翼</x:v>
      </x:c>
      <x:c r="D394" s="83" t="n">
        <x:f>G388</x:f>
        <x:v>217.13798407809992</x:v>
      </x:c>
      <x:c r="E394" s="83" t="str">
        <x:f>IF(A394=0,"GRID",IF(D394&gt;=Control!$B$17,"FINISHED",IF(AND(A394&gt;=INDEX(Drivers!$G$8:$G$13,B394),A394&lt;INDEX(Drivers!$G$8:$G$13,B394)+INDEX(Drivers!$J$8:$J$13,B394)),"PIT",IF(MOD(A394+INDEX(Drivers!$F$8:$F$13,B394),Control!$B$11)&lt;Control!$B$13,"BOOST","RACE"))))</x:f>
        <x:v>RACE</x:v>
      </x:c>
      <x:c r="F394" s="83" t="n">
        <x:f>IF(OR(E394="GRID",E394="FINISHED",E394="PIT"),0,MAX(Control!$B$15,(INDEX(Drivers!$D$8:$D$13,B394)+INDEX(Drivers!$E$8:$E$13,B394)*SIN((A394+INDEX(Drivers!$F$8:$F$13,B394)+Control!$B$16)*Control!$B$14))*INDEX(TrackMap!$M$8:$M$141,MOD(INT(D394)-1,Control!$B$7)+1)*IF(E394="BOOST",Control!$B$12,1)))</x:f>
        <x:v>3.0789430292807163</x:v>
      </x:c>
      <x:c r="G394" s="83" t="n">
        <x:f>IF(A394=0,D394,MIN(Control!$B$17,D394+F394))</x:f>
        <x:v>220.21692710738063</x:v>
      </x:c>
      <x:c r="H394" s="73" t="n">
        <x:f>MOD(INT(G394)-1,Control!$B$7)+1</x:f>
        <x:v>86</x:v>
      </x:c>
      <x:c r="I394" s="73" t="n">
        <x:f>MIN(Control!$B$6,MAX(1,INT(MAX(0,G394)/Control!$B$7)+1))</x:f>
        <x:v>2</x:v>
      </x:c>
      <x:c r="J394" s="73" t="n">
        <x:f>INDEX(Drivers!$H$8:$H$13,B394)</x:f>
        <x:v>1</x:v>
      </x:c>
      <x:c r="K394" s="73" t="n">
        <x:f>IF(J394=1,INDEX(TrackMap!$I$8:$I$141,H394),INDEX(TrackMap!$L$8:$L$141,H394))</x:f>
        <x:v>1552</x:v>
      </x:c>
      <x:c r="L394" s="73" t="str">
        <x:f>INDEX(TrackMap!$F$8:$F$141,H394)</x:f>
        <x:v>↓</x:v>
      </x:c>
      <x:c r="M394" s="87" t="n">
        <x:f>MAX(0,G394/Control!$B$17)</x:f>
        <x:v>0.3286819807572845</x:v>
      </x:c>
      <x:c r="N394" s="73" t="n">
        <x:f>IF(N388&gt;0,N388,IF(G394&gt;=Control!$B$17,A394,0))</x:f>
        <x:v>0</x:v>
      </x:c>
      <x:c r="O394" s="91" t="n">
        <x:f>IF(N394&gt;0,Control!$B$17+Control!$B$8+1-N394,G394)-B394/100000</x:f>
        <x:v>220.21689710738062</x:v>
      </x:c>
      <x:c r="P394" s="73" t="n">
        <x:f>COUNTIF($O$392:$O$397,"&gt;"&amp;O394)+1</x:f>
        <x:v>2</x:v>
      </x:c>
      <x:c r="Q394" s="83" t="n">
        <x:f>MAX($G$392:$G$397)-G394</x:f>
        <x:v>5.902459777157162</x:v>
      </x:c>
      <x:c r="R394" s="73" t="str">
        <x:f>INDEX(TrackMap!$B$8:$B$141,H394)</x:f>
        <x:v>东侧长直道</x:v>
      </x:c>
    </x:row>
    <x:row r="395" ht="20" customHeight="1">
      <x:c r="A395" s="73" t="n">
        <x:v>64</x:v>
      </x:c>
      <x:c r="B395" s="73" t="n">
        <x:v>4</x:v>
      </x:c>
      <x:c r="C395" s="73" t="str">
        <x:f>INDEX(Drivers!$B$8:$B$13,B395)</x:f>
        <x:v>紫影</x:v>
      </x:c>
      <x:c r="D395" s="83" t="n">
        <x:f>G389</x:f>
        <x:v>212.4581185644533</x:v>
      </x:c>
      <x:c r="E395" s="83" t="str">
        <x:f>IF(A395=0,"GRID",IF(D395&gt;=Control!$B$17,"FINISHED",IF(AND(A395&gt;=INDEX(Drivers!$G$8:$G$13,B395),A395&lt;INDEX(Drivers!$G$8:$G$13,B395)+INDEX(Drivers!$J$8:$J$13,B395)),"PIT",IF(MOD(A395+INDEX(Drivers!$F$8:$F$13,B395),Control!$B$11)&lt;Control!$B$13,"BOOST","RACE"))))</x:f>
        <x:v>RACE</x:v>
      </x:c>
      <x:c r="F395" s="83" t="n">
        <x:f>IF(OR(E395="GRID",E395="FINISHED",E395="PIT"),0,MAX(Control!$B$15,(INDEX(Drivers!$D$8:$D$13,B395)+INDEX(Drivers!$E$8:$E$13,B395)*SIN((A395+INDEX(Drivers!$F$8:$F$13,B395)+Control!$B$16)*Control!$B$14))*INDEX(TrackMap!$M$8:$M$141,MOD(INT(D395)-1,Control!$B$7)+1)*IF(E395="BOOST",Control!$B$12,1)))</x:f>
        <x:v>2.4113475633286647</x:v>
      </x:c>
      <x:c r="G395" s="83" t="n">
        <x:f>IF(A395=0,D395,MIN(Control!$B$17,D395+F395))</x:f>
        <x:v>214.86946612778195</x:v>
      </x:c>
      <x:c r="H395" s="73" t="n">
        <x:f>MOD(INT(G395)-1,Control!$B$7)+1</x:f>
        <x:v>80</x:v>
      </x:c>
      <x:c r="I395" s="73" t="n">
        <x:f>MIN(Control!$B$6,MAX(1,INT(MAX(0,G395)/Control!$B$7)+1))</x:f>
        <x:v>2</x:v>
      </x:c>
      <x:c r="J395" s="73" t="n">
        <x:f>INDEX(Drivers!$H$8:$H$13,B395)</x:f>
        <x:v>2</x:v>
      </x:c>
      <x:c r="K395" s="73" t="n">
        <x:f>IF(J395=1,INDEX(TrackMap!$I$8:$I$141,H395),INDEX(TrackMap!$L$8:$L$141,H395))</x:f>
        <x:v>949</x:v>
      </x:c>
      <x:c r="L395" s="73" t="str">
        <x:f>INDEX(TrackMap!$F$8:$F$141,H395)</x:f>
        <x:v>→</x:v>
      </x:c>
      <x:c r="M395" s="87" t="n">
        <x:f>MAX(0,G395/Control!$B$17)</x:f>
        <x:v>0.3207006957131074</x:v>
      </x:c>
      <x:c r="N395" s="73" t="n">
        <x:f>IF(N389&gt;0,N389,IF(G395&gt;=Control!$B$17,A395,0))</x:f>
        <x:v>0</x:v>
      </x:c>
      <x:c r="O395" s="91" t="n">
        <x:f>IF(N395&gt;0,Control!$B$17+Control!$B$8+1-N395,G395)-B395/100000</x:f>
        <x:v>214.86942612778194</x:v>
      </x:c>
      <x:c r="P395" s="73" t="n">
        <x:f>COUNTIF($O$392:$O$397,"&gt;"&amp;O395)+1</x:f>
        <x:v>5</x:v>
      </x:c>
      <x:c r="Q395" s="83" t="n">
        <x:f>MAX($G$392:$G$397)-G395</x:f>
        <x:v>11.249920756755841</x:v>
      </x:c>
      <x:c r="R395" s="73" t="str">
        <x:f>INDEX(TrackMap!$B$8:$B$141,H395)</x:f>
        <x:v>东侧发卡弯</x:v>
      </x:c>
    </x:row>
    <x:row r="396" ht="20" customHeight="1">
      <x:c r="A396" s="73" t="n">
        <x:v>64</x:v>
      </x:c>
      <x:c r="B396" s="73" t="n">
        <x:v>5</x:v>
      </x:c>
      <x:c r="C396" s="73" t="str">
        <x:f>INDEX(Drivers!$B$8:$B$13,B396)</x:f>
        <x:v>青锋</x:v>
      </x:c>
      <x:c r="D396" s="83" t="n">
        <x:f>G390</x:f>
        <x:v>212.64114417634147</x:v>
      </x:c>
      <x:c r="E396" s="83" t="str">
        <x:f>IF(A396=0,"GRID",IF(D396&gt;=Control!$B$17,"FINISHED",IF(AND(A396&gt;=INDEX(Drivers!$G$8:$G$13,B396),A396&lt;INDEX(Drivers!$G$8:$G$13,B396)+INDEX(Drivers!$J$8:$J$13,B396)),"PIT",IF(MOD(A396+INDEX(Drivers!$F$8:$F$13,B396),Control!$B$11)&lt;Control!$B$13,"BOOST","RACE"))))</x:f>
        <x:v>RACE</x:v>
      </x:c>
      <x:c r="F396" s="83" t="n">
        <x:f>IF(OR(E396="GRID",E396="FINISHED",E396="PIT"),0,MAX(Control!$B$15,(INDEX(Drivers!$D$8:$D$13,B396)+INDEX(Drivers!$E$8:$E$13,B396)*SIN((A396+INDEX(Drivers!$F$8:$F$13,B396)+Control!$B$16)*Control!$B$14))*INDEX(TrackMap!$M$8:$M$141,MOD(INT(D396)-1,Control!$B$7)+1)*IF(E396="BOOST",Control!$B$12,1)))</x:f>
        <x:v>2.4744596065587676</x:v>
      </x:c>
      <x:c r="G396" s="83" t="n">
        <x:f>IF(A396=0,D396,MIN(Control!$B$17,D396+F396))</x:f>
        <x:v>215.11560378290025</x:v>
      </x:c>
      <x:c r="H396" s="73" t="n">
        <x:f>MOD(INT(G396)-1,Control!$B$7)+1</x:f>
        <x:v>81</x:v>
      </x:c>
      <x:c r="I396" s="73" t="n">
        <x:f>MIN(Control!$B$6,MAX(1,INT(MAX(0,G396)/Control!$B$7)+1))</x:f>
        <x:v>2</x:v>
      </x:c>
      <x:c r="J396" s="73" t="n">
        <x:f>INDEX(Drivers!$H$8:$H$13,B396)</x:f>
        <x:v>1</x:v>
      </x:c>
      <x:c r="K396" s="73" t="n">
        <x:f>IF(J396=1,INDEX(TrackMap!$I$8:$I$141,H396),INDEX(TrackMap!$L$8:$L$141,H396))</x:f>
        <x:v>1051</x:v>
      </x:c>
      <x:c r="L396" s="73" t="str">
        <x:f>INDEX(TrackMap!$F$8:$F$141,H396)</x:f>
        <x:v>↓</x:v>
      </x:c>
      <x:c r="M396" s="87" t="n">
        <x:f>MAX(0,G396/Control!$B$17)</x:f>
        <x:v>0.32106806534761234</x:v>
      </x:c>
      <x:c r="N396" s="73" t="n">
        <x:f>IF(N390&gt;0,N390,IF(G396&gt;=Control!$B$17,A396,0))</x:f>
        <x:v>0</x:v>
      </x:c>
      <x:c r="O396" s="91" t="n">
        <x:f>IF(N396&gt;0,Control!$B$17+Control!$B$8+1-N396,G396)-B396/100000</x:f>
        <x:v>215.11555378290026</x:v>
      </x:c>
      <x:c r="P396" s="73" t="n">
        <x:f>COUNTIF($O$392:$O$397,"&gt;"&amp;O396)+1</x:f>
        <x:v>4</x:v>
      </x:c>
      <x:c r="Q396" s="83" t="n">
        <x:f>MAX($G$392:$G$397)-G396</x:f>
        <x:v>11.003783101637538</x:v>
      </x:c>
      <x:c r="R396" s="73" t="str">
        <x:f>INDEX(TrackMap!$B$8:$B$141,H396)</x:f>
        <x:v>东侧发卡弯</x:v>
      </x:c>
    </x:row>
    <x:row r="397" ht="20" customHeight="1">
      <x:c r="A397" s="73" t="n">
        <x:v>64</x:v>
      </x:c>
      <x:c r="B397" s="73" t="n">
        <x:v>6</x:v>
      </x:c>
      <x:c r="C397" s="73" t="str">
        <x:f>INDEX(Drivers!$B$8:$B$13,B397)</x:f>
        <x:v>玫速</x:v>
      </x:c>
      <x:c r="D397" s="83" t="n">
        <x:f>G391</x:f>
        <x:v>211.40371563314613</x:v>
      </x:c>
      <x:c r="E397" s="83" t="str">
        <x:f>IF(A397=0,"GRID",IF(D397&gt;=Control!$B$17,"FINISHED",IF(AND(A397&gt;=INDEX(Drivers!$G$8:$G$13,B397),A397&lt;INDEX(Drivers!$G$8:$G$13,B397)+INDEX(Drivers!$J$8:$J$13,B397)),"PIT",IF(MOD(A397+INDEX(Drivers!$F$8:$F$13,B397),Control!$B$11)&lt;Control!$B$13,"BOOST","RACE"))))</x:f>
        <x:v>RACE</x:v>
      </x:c>
      <x:c r="F397" s="83" t="n">
        <x:f>IF(OR(E397="GRID",E397="FINISHED",E397="PIT"),0,MAX(Control!$B$15,(INDEX(Drivers!$D$8:$D$13,B397)+INDEX(Drivers!$E$8:$E$13,B397)*SIN((A397+INDEX(Drivers!$F$8:$F$13,B397)+Control!$B$16)*Control!$B$14))*INDEX(TrackMap!$M$8:$M$141,MOD(INT(D397)-1,Control!$B$7)+1)*IF(E397="BOOST",Control!$B$12,1)))</x:f>
        <x:v>3.3376473107886246</x:v>
      </x:c>
      <x:c r="G397" s="83" t="n">
        <x:f>IF(A397=0,D397,MIN(Control!$B$17,D397+F397))</x:f>
        <x:v>214.74136294393475</x:v>
      </x:c>
      <x:c r="H397" s="73" t="n">
        <x:f>MOD(INT(G397)-1,Control!$B$7)+1</x:f>
        <x:v>80</x:v>
      </x:c>
      <x:c r="I397" s="73" t="n">
        <x:f>MIN(Control!$B$6,MAX(1,INT(MAX(0,G397)/Control!$B$7)+1))</x:f>
        <x:v>2</x:v>
      </x:c>
      <x:c r="J397" s="73" t="n">
        <x:f>INDEX(Drivers!$H$8:$H$13,B397)</x:f>
        <x:v>2</x:v>
      </x:c>
      <x:c r="K397" s="73" t="n">
        <x:f>IF(J397=1,INDEX(TrackMap!$I$8:$I$141,H397),INDEX(TrackMap!$L$8:$L$141,H397))</x:f>
        <x:v>949</x:v>
      </x:c>
      <x:c r="L397" s="73" t="str">
        <x:f>INDEX(TrackMap!$F$8:$F$141,H397)</x:f>
        <x:v>→</x:v>
      </x:c>
      <x:c r="M397" s="87" t="n">
        <x:f>MAX(0,G397/Control!$B$17)</x:f>
        <x:v>0.32050949693124586</x:v>
      </x:c>
      <x:c r="N397" s="73" t="n">
        <x:f>IF(N391&gt;0,N391,IF(G397&gt;=Control!$B$17,A397,0))</x:f>
        <x:v>0</x:v>
      </x:c>
      <x:c r="O397" s="91" t="n">
        <x:f>IF(N397&gt;0,Control!$B$17+Control!$B$8+1-N397,G397)-B397/100000</x:f>
        <x:v>214.74130294393476</x:v>
      </x:c>
      <x:c r="P397" s="73" t="n">
        <x:f>COUNTIF($O$392:$O$397,"&gt;"&amp;O397)+1</x:f>
        <x:v>6</x:v>
      </x:c>
      <x:c r="Q397" s="83" t="n">
        <x:f>MAX($G$392:$G$397)-G397</x:f>
        <x:v>11.378023940603043</x:v>
      </x:c>
      <x:c r="R397" s="73" t="str">
        <x:f>INDEX(TrackMap!$B$8:$B$141,H397)</x:f>
        <x:v>东侧发卡弯</x:v>
      </x:c>
    </x:row>
    <x:row r="398" ht="20" customHeight="1">
      <x:c r="A398" s="73" t="n">
        <x:v>65</x:v>
      </x:c>
      <x:c r="B398" s="73" t="n">
        <x:v>1</x:v>
      </x:c>
      <x:c r="C398" s="73" t="str">
        <x:f>INDEX(Drivers!$B$8:$B$13,B398)</x:f>
        <x:v>赤焰</x:v>
      </x:c>
      <x:c r="D398" s="83" t="n">
        <x:f>G392</x:f>
        <x:v>226.1193868845378</x:v>
      </x:c>
      <x:c r="E398" s="83" t="str">
        <x:f>IF(A398=0,"GRID",IF(D398&gt;=Control!$B$17,"FINISHED",IF(AND(A398&gt;=INDEX(Drivers!$G$8:$G$13,B398),A398&lt;INDEX(Drivers!$G$8:$G$13,B398)+INDEX(Drivers!$J$8:$J$13,B398)),"PIT",IF(MOD(A398+INDEX(Drivers!$F$8:$F$13,B398),Control!$B$11)&lt;Control!$B$13,"BOOST","RACE"))))</x:f>
        <x:v>RACE</x:v>
      </x:c>
      <x:c r="F398" s="83" t="n">
        <x:f>IF(OR(E398="GRID",E398="FINISHED",E398="PIT"),0,MAX(Control!$B$15,(INDEX(Drivers!$D$8:$D$13,B398)+INDEX(Drivers!$E$8:$E$13,B398)*SIN((A398+INDEX(Drivers!$F$8:$F$13,B398)+Control!$B$16)*Control!$B$14))*INDEX(TrackMap!$M$8:$M$141,MOD(INT(D398)-1,Control!$B$7)+1)*IF(E398="BOOST",Control!$B$12,1)))</x:f>
        <x:v>3.200815926901028</x:v>
      </x:c>
      <x:c r="G398" s="83" t="n">
        <x:f>IF(A398=0,D398,MIN(Control!$B$17,D398+F398))</x:f>
        <x:v>229.3202028114388</x:v>
      </x:c>
      <x:c r="H398" s="73" t="n">
        <x:f>MOD(INT(G398)-1,Control!$B$7)+1</x:f>
        <x:v>95</x:v>
      </x:c>
      <x:c r="I398" s="73" t="n">
        <x:f>MIN(Control!$B$6,MAX(1,INT(MAX(0,G398)/Control!$B$7)+1))</x:f>
        <x:v>2</x:v>
      </x:c>
      <x:c r="J398" s="73" t="n">
        <x:f>INDEX(Drivers!$H$8:$H$13,B398)</x:f>
        <x:v>1</x:v>
      </x:c>
      <x:c r="K398" s="73" t="n">
        <x:f>IF(J398=1,INDEX(TrackMap!$I$8:$I$141,H398),INDEX(TrackMap!$L$8:$L$141,H398))</x:f>
        <x:v>2452</x:v>
      </x:c>
      <x:c r="L398" s="73" t="str">
        <x:f>INDEX(TrackMap!$F$8:$F$141,H398)</x:f>
        <x:v>↓</x:v>
      </x:c>
      <x:c r="M398" s="87" t="n">
        <x:f>MAX(0,G398/Control!$B$17)</x:f>
        <x:v>0.3422689594200579</x:v>
      </x:c>
      <x:c r="N398" s="73" t="n">
        <x:f>IF(N392&gt;0,N392,IF(G398&gt;=Control!$B$17,A398,0))</x:f>
        <x:v>0</x:v>
      </x:c>
      <x:c r="O398" s="91" t="n">
        <x:f>IF(N398&gt;0,Control!$B$17+Control!$B$8+1-N398,G398)-B398/100000</x:f>
        <x:v>229.3201928114388</x:v>
      </x:c>
      <x:c r="P398" s="73" t="n">
        <x:f>COUNTIF($O$398:$O$403,"&gt;"&amp;O398)+1</x:f>
        <x:v>1</x:v>
      </x:c>
      <x:c r="Q398" s="83" t="n">
        <x:f>MAX($G$398:$G$403)-G398</x:f>
        <x:v>0</x:v>
      </x:c>
      <x:c r="R398" s="73" t="str">
        <x:f>INDEX(TrackMap!$B$8:$B$141,H398)</x:f>
        <x:v>东侧长直道</x:v>
      </x:c>
    </x:row>
    <x:row r="399" ht="20" customHeight="1">
      <x:c r="A399" s="73" t="n">
        <x:v>65</x:v>
      </x:c>
      <x:c r="B399" s="73" t="n">
        <x:v>2</x:v>
      </x:c>
      <x:c r="C399" s="73" t="str">
        <x:f>INDEX(Drivers!$B$8:$B$13,B399)</x:f>
        <x:v>蓝电</x:v>
      </x:c>
      <x:c r="D399" s="83" t="n">
        <x:f>G393</x:f>
        <x:v>216.3151611645376</x:v>
      </x:c>
      <x:c r="E399" s="83" t="str">
        <x:f>IF(A399=0,"GRID",IF(D399&gt;=Control!$B$17,"FINISHED",IF(AND(A399&gt;=INDEX(Drivers!$G$8:$G$13,B399),A399&lt;INDEX(Drivers!$G$8:$G$13,B399)+INDEX(Drivers!$J$8:$J$13,B399)),"PIT",IF(MOD(A399+INDEX(Drivers!$F$8:$F$13,B399),Control!$B$11)&lt;Control!$B$13,"BOOST","RACE"))))</x:f>
        <x:v>RACE</x:v>
      </x:c>
      <x:c r="F399" s="83" t="n">
        <x:f>IF(OR(E399="GRID",E399="FINISHED",E399="PIT"),0,MAX(Control!$B$15,(INDEX(Drivers!$D$8:$D$13,B399)+INDEX(Drivers!$E$8:$E$13,B399)*SIN((A399+INDEX(Drivers!$F$8:$F$13,B399)+Control!$B$16)*Control!$B$14))*INDEX(TrackMap!$M$8:$M$141,MOD(INT(D399)-1,Control!$B$7)+1)*IF(E399="BOOST",Control!$B$12,1)))</x:f>
        <x:v>2.9764021606806486</x:v>
      </x:c>
      <x:c r="G399" s="83" t="n">
        <x:f>IF(A399=0,D399,MIN(Control!$B$17,D399+F399))</x:f>
        <x:v>219.29156332521825</x:v>
      </x:c>
      <x:c r="H399" s="73" t="n">
        <x:f>MOD(INT(G399)-1,Control!$B$7)+1</x:f>
        <x:v>85</x:v>
      </x:c>
      <x:c r="I399" s="73" t="n">
        <x:f>MIN(Control!$B$6,MAX(1,INT(MAX(0,G399)/Control!$B$7)+1))</x:f>
        <x:v>2</x:v>
      </x:c>
      <x:c r="J399" s="73" t="n">
        <x:f>INDEX(Drivers!$H$8:$H$13,B399)</x:f>
        <x:v>2</x:v>
      </x:c>
      <x:c r="K399" s="73" t="n">
        <x:f>IF(J399=1,INDEX(TrackMap!$I$8:$I$141,H399),INDEX(TrackMap!$L$8:$L$141,H399))</x:f>
        <x:v>1451</x:v>
      </x:c>
      <x:c r="L399" s="73" t="str">
        <x:f>INDEX(TrackMap!$F$8:$F$141,H399)</x:f>
        <x:v>↓</x:v>
      </x:c>
      <x:c r="M399" s="87" t="n">
        <x:f>MAX(0,G399/Control!$B$17)</x:f>
        <x:v>0.3273008407839078</x:v>
      </x:c>
      <x:c r="N399" s="73" t="n">
        <x:f>IF(N393&gt;0,N393,IF(G399&gt;=Control!$B$17,A399,0))</x:f>
        <x:v>0</x:v>
      </x:c>
      <x:c r="O399" s="91" t="n">
        <x:f>IF(N399&gt;0,Control!$B$17+Control!$B$8+1-N399,G399)-B399/100000</x:f>
        <x:v>219.29154332521824</x:v>
      </x:c>
      <x:c r="P399" s="73" t="n">
        <x:f>COUNTIF($O$398:$O$403,"&gt;"&amp;O399)+1</x:f>
        <x:v>3</x:v>
      </x:c>
      <x:c r="Q399" s="83" t="n">
        <x:f>MAX($G$398:$G$403)-G399</x:f>
        <x:v>10.028639486220555</x:v>
      </x:c>
      <x:c r="R399" s="73" t="str">
        <x:f>INDEX(TrackMap!$B$8:$B$141,H399)</x:f>
        <x:v>东侧长直道</x:v>
      </x:c>
    </x:row>
    <x:row r="400" ht="20" customHeight="1">
      <x:c r="A400" s="73" t="n">
        <x:v>65</x:v>
      </x:c>
      <x:c r="B400" s="73" t="n">
        <x:v>3</x:v>
      </x:c>
      <x:c r="C400" s="73" t="str">
        <x:f>INDEX(Drivers!$B$8:$B$13,B400)</x:f>
        <x:v>金翼</x:v>
      </x:c>
      <x:c r="D400" s="83" t="n">
        <x:f>G394</x:f>
        <x:v>220.21692710738063</x:v>
      </x:c>
      <x:c r="E400" s="83" t="str">
        <x:f>IF(A400=0,"GRID",IF(D400&gt;=Control!$B$17,"FINISHED",IF(AND(A400&gt;=INDEX(Drivers!$G$8:$G$13,B400),A400&lt;INDEX(Drivers!$G$8:$G$13,B400)+INDEX(Drivers!$J$8:$J$13,B400)),"PIT",IF(MOD(A400+INDEX(Drivers!$F$8:$F$13,B400),Control!$B$11)&lt;Control!$B$13,"BOOST","RACE"))))</x:f>
        <x:v>RACE</x:v>
      </x:c>
      <x:c r="F400" s="83" t="n">
        <x:f>IF(OR(E400="GRID",E400="FINISHED",E400="PIT"),0,MAX(Control!$B$15,(INDEX(Drivers!$D$8:$D$13,B400)+INDEX(Drivers!$E$8:$E$13,B400)*SIN((A400+INDEX(Drivers!$F$8:$F$13,B400)+Control!$B$16)*Control!$B$14))*INDEX(TrackMap!$M$8:$M$141,MOD(INT(D400)-1,Control!$B$7)+1)*IF(E400="BOOST",Control!$B$12,1)))</x:f>
        <x:v>3.7734923607264856</x:v>
      </x:c>
      <x:c r="G400" s="83" t="n">
        <x:f>IF(A400=0,D400,MIN(Control!$B$17,D400+F400))</x:f>
        <x:v>223.99041946810712</x:v>
      </x:c>
      <x:c r="H400" s="73" t="n">
        <x:f>MOD(INT(G400)-1,Control!$B$7)+1</x:f>
        <x:v>89</x:v>
      </x:c>
      <x:c r="I400" s="73" t="n">
        <x:f>MIN(Control!$B$6,MAX(1,INT(MAX(0,G400)/Control!$B$7)+1))</x:f>
        <x:v>2</x:v>
      </x:c>
      <x:c r="J400" s="73" t="n">
        <x:f>INDEX(Drivers!$H$8:$H$13,B400)</x:f>
        <x:v>1</x:v>
      </x:c>
      <x:c r="K400" s="73" t="n">
        <x:f>IF(J400=1,INDEX(TrackMap!$I$8:$I$141,H400),INDEX(TrackMap!$L$8:$L$141,H400))</x:f>
        <x:v>1852</x:v>
      </x:c>
      <x:c r="L400" s="73" t="str">
        <x:f>INDEX(TrackMap!$F$8:$F$141,H400)</x:f>
        <x:v>↓</x:v>
      </x:c>
      <x:c r="M400" s="87" t="n">
        <x:f>MAX(0,G400/Control!$B$17)</x:f>
        <x:v>0.33431405890762256</x:v>
      </x:c>
      <x:c r="N400" s="73" t="n">
        <x:f>IF(N394&gt;0,N394,IF(G400&gt;=Control!$B$17,A400,0))</x:f>
        <x:v>0</x:v>
      </x:c>
      <x:c r="O400" s="91" t="n">
        <x:f>IF(N400&gt;0,Control!$B$17+Control!$B$8+1-N400,G400)-B400/100000</x:f>
        <x:v>223.9903894681071</x:v>
      </x:c>
      <x:c r="P400" s="73" t="n">
        <x:f>COUNTIF($O$398:$O$403,"&gt;"&amp;O400)+1</x:f>
        <x:v>2</x:v>
      </x:c>
      <x:c r="Q400" s="83" t="n">
        <x:f>MAX($G$398:$G$403)-G400</x:f>
        <x:v>5.329783343331684</x:v>
      </x:c>
      <x:c r="R400" s="73" t="str">
        <x:f>INDEX(TrackMap!$B$8:$B$141,H400)</x:f>
        <x:v>东侧长直道</x:v>
      </x:c>
    </x:row>
    <x:row r="401" ht="20" customHeight="1">
      <x:c r="A401" s="73" t="n">
        <x:v>65</x:v>
      </x:c>
      <x:c r="B401" s="73" t="n">
        <x:v>4</x:v>
      </x:c>
      <x:c r="C401" s="73" t="str">
        <x:f>INDEX(Drivers!$B$8:$B$13,B401)</x:f>
        <x:v>紫影</x:v>
      </x:c>
      <x:c r="D401" s="83" t="n">
        <x:f>G395</x:f>
        <x:v>214.86946612778195</x:v>
      </x:c>
      <x:c r="E401" s="83" t="str">
        <x:f>IF(A401=0,"GRID",IF(D401&gt;=Control!$B$17,"FINISHED",IF(AND(A401&gt;=INDEX(Drivers!$G$8:$G$13,B401),A401&lt;INDEX(Drivers!$G$8:$G$13,B401)+INDEX(Drivers!$J$8:$J$13,B401)),"PIT",IF(MOD(A401+INDEX(Drivers!$F$8:$F$13,B401),Control!$B$11)&lt;Control!$B$13,"BOOST","RACE"))))</x:f>
        <x:v>RACE</x:v>
      </x:c>
      <x:c r="F401" s="83" t="n">
        <x:f>IF(OR(E401="GRID",E401="FINISHED",E401="PIT"),0,MAX(Control!$B$15,(INDEX(Drivers!$D$8:$D$13,B401)+INDEX(Drivers!$E$8:$E$13,B401)*SIN((A401+INDEX(Drivers!$F$8:$F$13,B401)+Control!$B$16)*Control!$B$14))*INDEX(TrackMap!$M$8:$M$141,MOD(INT(D401)-1,Control!$B$7)+1)*IF(E401="BOOST",Control!$B$12,1)))</x:f>
        <x:v>2.5168633484692937</x:v>
      </x:c>
      <x:c r="G401" s="83" t="n">
        <x:f>IF(A401=0,D401,MIN(Control!$B$17,D401+F401))</x:f>
        <x:v>217.38632947625123</x:v>
      </x:c>
      <x:c r="H401" s="73" t="n">
        <x:f>MOD(INT(G401)-1,Control!$B$7)+1</x:f>
        <x:v>83</x:v>
      </x:c>
      <x:c r="I401" s="73" t="n">
        <x:f>MIN(Control!$B$6,MAX(1,INT(MAX(0,G401)/Control!$B$7)+1))</x:f>
        <x:v>2</x:v>
      </x:c>
      <x:c r="J401" s="73" t="n">
        <x:f>INDEX(Drivers!$H$8:$H$13,B401)</x:f>
        <x:v>2</x:v>
      </x:c>
      <x:c r="K401" s="73" t="n">
        <x:f>IF(J401=1,INDEX(TrackMap!$I$8:$I$141,H401),INDEX(TrackMap!$L$8:$L$141,H401))</x:f>
        <x:v>1251</x:v>
      </x:c>
      <x:c r="L401" s="73" t="str">
        <x:f>INDEX(TrackMap!$F$8:$F$141,H401)</x:f>
        <x:v>↓</x:v>
      </x:c>
      <x:c r="M401" s="87" t="n">
        <x:f>MAX(0,G401/Control!$B$17)</x:f>
        <x:v>0.3244572081735093</x:v>
      </x:c>
      <x:c r="N401" s="73" t="n">
        <x:f>IF(N395&gt;0,N395,IF(G401&gt;=Control!$B$17,A401,0))</x:f>
        <x:v>0</x:v>
      </x:c>
      <x:c r="O401" s="91" t="n">
        <x:f>IF(N401&gt;0,Control!$B$17+Control!$B$8+1-N401,G401)-B401/100000</x:f>
        <x:v>217.38628947625122</x:v>
      </x:c>
      <x:c r="P401" s="73" t="n">
        <x:f>COUNTIF($O$398:$O$403,"&gt;"&amp;O401)+1</x:f>
        <x:v>6</x:v>
      </x:c>
      <x:c r="Q401" s="83" t="n">
        <x:f>MAX($G$398:$G$403)-G401</x:f>
        <x:v>11.93387333518757</x:v>
      </x:c>
      <x:c r="R401" s="73" t="str">
        <x:f>INDEX(TrackMap!$B$8:$B$141,H401)</x:f>
        <x:v>东侧长直道</x:v>
      </x:c>
    </x:row>
    <x:row r="402" ht="20" customHeight="1">
      <x:c r="A402" s="73" t="n">
        <x:v>65</x:v>
      </x:c>
      <x:c r="B402" s="73" t="n">
        <x:v>5</x:v>
      </x:c>
      <x:c r="C402" s="73" t="str">
        <x:f>INDEX(Drivers!$B$8:$B$13,B402)</x:f>
        <x:v>青锋</x:v>
      </x:c>
      <x:c r="D402" s="83" t="n">
        <x:f>G396</x:f>
        <x:v>215.11560378290025</x:v>
      </x:c>
      <x:c r="E402" s="83" t="str">
        <x:f>IF(A402=0,"GRID",IF(D402&gt;=Control!$B$17,"FINISHED",IF(AND(A402&gt;=INDEX(Drivers!$G$8:$G$13,B402),A402&lt;INDEX(Drivers!$G$8:$G$13,B402)+INDEX(Drivers!$J$8:$J$13,B402)),"PIT",IF(MOD(A402+INDEX(Drivers!$F$8:$F$13,B402),Control!$B$11)&lt;Control!$B$13,"BOOST","RACE"))))</x:f>
        <x:v>RACE</x:v>
      </x:c>
      <x:c r="F402" s="83" t="n">
        <x:f>IF(OR(E402="GRID",E402="FINISHED",E402="PIT"),0,MAX(Control!$B$15,(INDEX(Drivers!$D$8:$D$13,B402)+INDEX(Drivers!$E$8:$E$13,B402)*SIN((A402+INDEX(Drivers!$F$8:$F$13,B402)+Control!$B$16)*Control!$B$14))*INDEX(TrackMap!$M$8:$M$141,MOD(INT(D402)-1,Control!$B$7)+1)*IF(E402="BOOST",Control!$B$12,1)))</x:f>
        <x:v>2.5682713757266735</x:v>
      </x:c>
      <x:c r="G402" s="83" t="n">
        <x:f>IF(A402=0,D402,MIN(Control!$B$17,D402+F402))</x:f>
        <x:v>217.68387515862693</x:v>
      </x:c>
      <x:c r="H402" s="73" t="n">
        <x:f>MOD(INT(G402)-1,Control!$B$7)+1</x:f>
        <x:v>83</x:v>
      </x:c>
      <x:c r="I402" s="73" t="n">
        <x:f>MIN(Control!$B$6,MAX(1,INT(MAX(0,G402)/Control!$B$7)+1))</x:f>
        <x:v>2</x:v>
      </x:c>
      <x:c r="J402" s="73" t="n">
        <x:f>INDEX(Drivers!$H$8:$H$13,B402)</x:f>
        <x:v>1</x:v>
      </x:c>
      <x:c r="K402" s="73" t="n">
        <x:f>IF(J402=1,INDEX(TrackMap!$I$8:$I$141,H402),INDEX(TrackMap!$L$8:$L$141,H402))</x:f>
        <x:v>1252</x:v>
      </x:c>
      <x:c r="L402" s="73" t="str">
        <x:f>INDEX(TrackMap!$F$8:$F$141,H402)</x:f>
        <x:v>↓</x:v>
      </x:c>
      <x:c r="M402" s="87" t="n">
        <x:f>MAX(0,G402/Control!$B$17)</x:f>
        <x:v>0.3249013062069059</x:v>
      </x:c>
      <x:c r="N402" s="73" t="n">
        <x:f>IF(N396&gt;0,N396,IF(G402&gt;=Control!$B$17,A402,0))</x:f>
        <x:v>0</x:v>
      </x:c>
      <x:c r="O402" s="91" t="n">
        <x:f>IF(N402&gt;0,Control!$B$17+Control!$B$8+1-N402,G402)-B402/100000</x:f>
        <x:v>217.68382515862695</x:v>
      </x:c>
      <x:c r="P402" s="73" t="n">
        <x:f>COUNTIF($O$398:$O$403,"&gt;"&amp;O402)+1</x:f>
        <x:v>5</x:v>
      </x:c>
      <x:c r="Q402" s="83" t="n">
        <x:f>MAX($G$398:$G$403)-G402</x:f>
        <x:v>11.636327652811872</x:v>
      </x:c>
      <x:c r="R402" s="73" t="str">
        <x:f>INDEX(TrackMap!$B$8:$B$141,H402)</x:f>
        <x:v>东侧长直道</x:v>
      </x:c>
    </x:row>
    <x:row r="403" ht="20" customHeight="1">
      <x:c r="A403" s="73" t="n">
        <x:v>65</x:v>
      </x:c>
      <x:c r="B403" s="73" t="n">
        <x:v>6</x:v>
      </x:c>
      <x:c r="C403" s="73" t="str">
        <x:f>INDEX(Drivers!$B$8:$B$13,B403)</x:f>
        <x:v>玫速</x:v>
      </x:c>
      <x:c r="D403" s="83" t="n">
        <x:f>G397</x:f>
        <x:v>214.74136294393475</x:v>
      </x:c>
      <x:c r="E403" s="83" t="str">
        <x:f>IF(A403=0,"GRID",IF(D403&gt;=Control!$B$17,"FINISHED",IF(AND(A403&gt;=INDEX(Drivers!$G$8:$G$13,B403),A403&lt;INDEX(Drivers!$G$8:$G$13,B403)+INDEX(Drivers!$J$8:$J$13,B403)),"PIT",IF(MOD(A403+INDEX(Drivers!$F$8:$F$13,B403),Control!$B$11)&lt;Control!$B$13,"BOOST","RACE"))))</x:f>
        <x:v>RACE</x:v>
      </x:c>
      <x:c r="F403" s="83" t="n">
        <x:f>IF(OR(E403="GRID",E403="FINISHED",E403="PIT"),0,MAX(Control!$B$15,(INDEX(Drivers!$D$8:$D$13,B403)+INDEX(Drivers!$E$8:$E$13,B403)*SIN((A403+INDEX(Drivers!$F$8:$F$13,B403)+Control!$B$16)*Control!$B$14))*INDEX(TrackMap!$M$8:$M$141,MOD(INT(D403)-1,Control!$B$7)+1)*IF(E403="BOOST",Control!$B$12,1)))</x:f>
        <x:v>3.3156218497522145</x:v>
      </x:c>
      <x:c r="G403" s="83" t="n">
        <x:f>IF(A403=0,D403,MIN(Control!$B$17,D403+F403))</x:f>
        <x:v>218.05698479368695</x:v>
      </x:c>
      <x:c r="H403" s="73" t="n">
        <x:f>MOD(INT(G403)-1,Control!$B$7)+1</x:f>
        <x:v>84</x:v>
      </x:c>
      <x:c r="I403" s="73" t="n">
        <x:f>MIN(Control!$B$6,MAX(1,INT(MAX(0,G403)/Control!$B$7)+1))</x:f>
        <x:v>2</x:v>
      </x:c>
      <x:c r="J403" s="73" t="n">
        <x:f>INDEX(Drivers!$H$8:$H$13,B403)</x:f>
        <x:v>2</x:v>
      </x:c>
      <x:c r="K403" s="73" t="n">
        <x:f>IF(J403=1,INDEX(TrackMap!$I$8:$I$141,H403),INDEX(TrackMap!$L$8:$L$141,H403))</x:f>
        <x:v>1351</x:v>
      </x:c>
      <x:c r="L403" s="73" t="str">
        <x:f>INDEX(TrackMap!$F$8:$F$141,H403)</x:f>
        <x:v>↓</x:v>
      </x:c>
      <x:c r="M403" s="87" t="n">
        <x:f>MAX(0,G403/Control!$B$17)</x:f>
        <x:v>0.32545818625923423</x:v>
      </x:c>
      <x:c r="N403" s="73" t="n">
        <x:f>IF(N397&gt;0,N397,IF(G403&gt;=Control!$B$17,A403,0))</x:f>
        <x:v>0</x:v>
      </x:c>
      <x:c r="O403" s="91" t="n">
        <x:f>IF(N403&gt;0,Control!$B$17+Control!$B$8+1-N403,G403)-B403/100000</x:f>
        <x:v>218.05692479368696</x:v>
      </x:c>
      <x:c r="P403" s="73" t="n">
        <x:f>COUNTIF($O$398:$O$403,"&gt;"&amp;O403)+1</x:f>
        <x:v>4</x:v>
      </x:c>
      <x:c r="Q403" s="83" t="n">
        <x:f>MAX($G$398:$G$403)-G403</x:f>
        <x:v>11.263218017751853</x:v>
      </x:c>
      <x:c r="R403" s="73" t="str">
        <x:f>INDEX(TrackMap!$B$8:$B$141,H403)</x:f>
        <x:v>东侧长直道</x:v>
      </x:c>
    </x:row>
    <x:row r="404" ht="20" customHeight="1">
      <x:c r="A404" s="73" t="n">
        <x:v>66</x:v>
      </x:c>
      <x:c r="B404" s="73" t="n">
        <x:v>1</x:v>
      </x:c>
      <x:c r="C404" s="73" t="str">
        <x:f>INDEX(Drivers!$B$8:$B$13,B404)</x:f>
        <x:v>赤焰</x:v>
      </x:c>
      <x:c r="D404" s="83" t="n">
        <x:f>G398</x:f>
        <x:v>229.3202028114388</x:v>
      </x:c>
      <x:c r="E404" s="83" t="str">
        <x:f>IF(A404=0,"GRID",IF(D404&gt;=Control!$B$17,"FINISHED",IF(AND(A404&gt;=INDEX(Drivers!$G$8:$G$13,B404),A404&lt;INDEX(Drivers!$G$8:$G$13,B404)+INDEX(Drivers!$J$8:$J$13,B404)),"PIT",IF(MOD(A404+INDEX(Drivers!$F$8:$F$13,B404),Control!$B$11)&lt;Control!$B$13,"BOOST","RACE"))))</x:f>
        <x:v>RACE</x:v>
      </x:c>
      <x:c r="F404" s="83" t="n">
        <x:f>IF(OR(E404="GRID",E404="FINISHED",E404="PIT"),0,MAX(Control!$B$15,(INDEX(Drivers!$D$8:$D$13,B404)+INDEX(Drivers!$E$8:$E$13,B404)*SIN((A404+INDEX(Drivers!$F$8:$F$13,B404)+Control!$B$16)*Control!$B$14))*INDEX(TrackMap!$M$8:$M$141,MOD(INT(D404)-1,Control!$B$7)+1)*IF(E404="BOOST",Control!$B$12,1)))</x:f>
        <x:v>3.116441846461048</x:v>
      </x:c>
      <x:c r="G404" s="83" t="n">
        <x:f>IF(A404=0,D404,MIN(Control!$B$17,D404+F404))</x:f>
        <x:v>232.43664465789985</x:v>
      </x:c>
      <x:c r="H404" s="73" t="n">
        <x:f>MOD(INT(G404)-1,Control!$B$7)+1</x:f>
        <x:v>98</x:v>
      </x:c>
      <x:c r="I404" s="73" t="n">
        <x:f>MIN(Control!$B$6,MAX(1,INT(MAX(0,G404)/Control!$B$7)+1))</x:f>
        <x:v>2</x:v>
      </x:c>
      <x:c r="J404" s="73" t="n">
        <x:f>INDEX(Drivers!$H$8:$H$13,B404)</x:f>
        <x:v>1</x:v>
      </x:c>
      <x:c r="K404" s="73" t="n">
        <x:f>IF(J404=1,INDEX(TrackMap!$I$8:$I$141,H404),INDEX(TrackMap!$L$8:$L$141,H404))</x:f>
        <x:v>2752</x:v>
      </x:c>
      <x:c r="L404" s="73" t="str">
        <x:f>INDEX(TrackMap!$F$8:$F$141,H404)</x:f>
        <x:v>↓</x:v>
      </x:c>
      <x:c r="M404" s="87" t="n">
        <x:f>MAX(0,G404/Control!$B$17)</x:f>
        <x:v>0.3469203651610446</x:v>
      </x:c>
      <x:c r="N404" s="73" t="n">
        <x:f>IF(N398&gt;0,N398,IF(G404&gt;=Control!$B$17,A404,0))</x:f>
        <x:v>0</x:v>
      </x:c>
      <x:c r="O404" s="91" t="n">
        <x:f>IF(N404&gt;0,Control!$B$17+Control!$B$8+1-N404,G404)-B404/100000</x:f>
        <x:v>232.43663465789984</x:v>
      </x:c>
      <x:c r="P404" s="73" t="n">
        <x:f>COUNTIF($O$404:$O$409,"&gt;"&amp;O404)+1</x:f>
        <x:v>1</x:v>
      </x:c>
      <x:c r="Q404" s="83" t="n">
        <x:f>MAX($G$404:$G$409)-G404</x:f>
        <x:v>0</x:v>
      </x:c>
      <x:c r="R404" s="73" t="str">
        <x:f>INDEX(TrackMap!$B$8:$B$141,H404)</x:f>
        <x:v>东侧长直道</x:v>
      </x:c>
    </x:row>
    <x:row r="405" ht="20" customHeight="1">
      <x:c r="A405" s="73" t="n">
        <x:v>66</x:v>
      </x:c>
      <x:c r="B405" s="73" t="n">
        <x:v>2</x:v>
      </x:c>
      <x:c r="C405" s="73" t="str">
        <x:f>INDEX(Drivers!$B$8:$B$13,B405)</x:f>
        <x:v>蓝电</x:v>
      </x:c>
      <x:c r="D405" s="83" t="n">
        <x:f>G399</x:f>
        <x:v>219.29156332521825</x:v>
      </x:c>
      <x:c r="E405" s="83" t="str">
        <x:f>IF(A405=0,"GRID",IF(D405&gt;=Control!$B$17,"FINISHED",IF(AND(A405&gt;=INDEX(Drivers!$G$8:$G$13,B405),A405&lt;INDEX(Drivers!$G$8:$G$13,B405)+INDEX(Drivers!$J$8:$J$13,B405)),"PIT",IF(MOD(A405+INDEX(Drivers!$F$8:$F$13,B405),Control!$B$11)&lt;Control!$B$13,"BOOST","RACE"))))</x:f>
        <x:v>RACE</x:v>
      </x:c>
      <x:c r="F405" s="83" t="n">
        <x:f>IF(OR(E405="GRID",E405="FINISHED",E405="PIT"),0,MAX(Control!$B$15,(INDEX(Drivers!$D$8:$D$13,B405)+INDEX(Drivers!$E$8:$E$13,B405)*SIN((A405+INDEX(Drivers!$F$8:$F$13,B405)+Control!$B$16)*Control!$B$14))*INDEX(TrackMap!$M$8:$M$141,MOD(INT(D405)-1,Control!$B$7)+1)*IF(E405="BOOST",Control!$B$12,1)))</x:f>
        <x:v>3.999432303018905</x:v>
      </x:c>
      <x:c r="G405" s="83" t="n">
        <x:f>IF(A405=0,D405,MIN(Control!$B$17,D405+F405))</x:f>
        <x:v>223.29099562823714</x:v>
      </x:c>
      <x:c r="H405" s="73" t="n">
        <x:f>MOD(INT(G405)-1,Control!$B$7)+1</x:f>
        <x:v>89</x:v>
      </x:c>
      <x:c r="I405" s="73" t="n">
        <x:f>MIN(Control!$B$6,MAX(1,INT(MAX(0,G405)/Control!$B$7)+1))</x:f>
        <x:v>2</x:v>
      </x:c>
      <x:c r="J405" s="73" t="n">
        <x:f>INDEX(Drivers!$H$8:$H$13,B405)</x:f>
        <x:v>2</x:v>
      </x:c>
      <x:c r="K405" s="73" t="n">
        <x:f>IF(J405=1,INDEX(TrackMap!$I$8:$I$141,H405),INDEX(TrackMap!$L$8:$L$141,H405))</x:f>
        <x:v>1851</x:v>
      </x:c>
      <x:c r="L405" s="73" t="str">
        <x:f>INDEX(TrackMap!$F$8:$F$141,H405)</x:f>
        <x:v>↓</x:v>
      </x:c>
      <x:c r="M405" s="87" t="n">
        <x:f>MAX(0,G405/Control!$B$17)</x:f>
        <x:v>0.33327014272871214</x:v>
      </x:c>
      <x:c r="N405" s="73" t="n">
        <x:f>IF(N399&gt;0,N399,IF(G405&gt;=Control!$B$17,A405,0))</x:f>
        <x:v>0</x:v>
      </x:c>
      <x:c r="O405" s="91" t="n">
        <x:f>IF(N405&gt;0,Control!$B$17+Control!$B$8+1-N405,G405)-B405/100000</x:f>
        <x:v>223.29097562823713</x:v>
      </x:c>
      <x:c r="P405" s="73" t="n">
        <x:f>COUNTIF($O$404:$O$409,"&gt;"&amp;O405)+1</x:f>
        <x:v>3</x:v>
      </x:c>
      <x:c r="Q405" s="83" t="n">
        <x:f>MAX($G$404:$G$409)-G405</x:f>
        <x:v>9.145649029662707</x:v>
      </x:c>
      <x:c r="R405" s="73" t="str">
        <x:f>INDEX(TrackMap!$B$8:$B$141,H405)</x:f>
        <x:v>东侧长直道</x:v>
      </x:c>
    </x:row>
    <x:row r="406" ht="20" customHeight="1">
      <x:c r="A406" s="73" t="n">
        <x:v>66</x:v>
      </x:c>
      <x:c r="B406" s="73" t="n">
        <x:v>3</x:v>
      </x:c>
      <x:c r="C406" s="73" t="str">
        <x:f>INDEX(Drivers!$B$8:$B$13,B406)</x:f>
        <x:v>金翼</x:v>
      </x:c>
      <x:c r="D406" s="83" t="n">
        <x:f>G400</x:f>
        <x:v>223.99041946810712</x:v>
      </x:c>
      <x:c r="E406" s="83" t="str">
        <x:f>IF(A406=0,"GRID",IF(D406&gt;=Control!$B$17,"FINISHED",IF(AND(A406&gt;=INDEX(Drivers!$G$8:$G$13,B406),A406&lt;INDEX(Drivers!$G$8:$G$13,B406)+INDEX(Drivers!$J$8:$J$13,B406)),"PIT",IF(MOD(A406+INDEX(Drivers!$F$8:$F$13,B406),Control!$B$11)&lt;Control!$B$13,"BOOST","RACE"))))</x:f>
        <x:v>RACE</x:v>
      </x:c>
      <x:c r="F406" s="83" t="n">
        <x:f>IF(OR(E406="GRID",E406="FINISHED",E406="PIT"),0,MAX(Control!$B$15,(INDEX(Drivers!$D$8:$D$13,B406)+INDEX(Drivers!$E$8:$E$13,B406)*SIN((A406+INDEX(Drivers!$F$8:$F$13,B406)+Control!$B$16)*Control!$B$14))*INDEX(TrackMap!$M$8:$M$141,MOD(INT(D406)-1,Control!$B$7)+1)*IF(E406="BOOST",Control!$B$12,1)))</x:f>
        <x:v>3.5896750171446876</x:v>
      </x:c>
      <x:c r="G406" s="83" t="n">
        <x:f>IF(A406=0,D406,MIN(Control!$B$17,D406+F406))</x:f>
        <x:v>227.5800944852518</x:v>
      </x:c>
      <x:c r="H406" s="73" t="n">
        <x:f>MOD(INT(G406)-1,Control!$B$7)+1</x:f>
        <x:v>93</x:v>
      </x:c>
      <x:c r="I406" s="73" t="n">
        <x:f>MIN(Control!$B$6,MAX(1,INT(MAX(0,G406)/Control!$B$7)+1))</x:f>
        <x:v>2</x:v>
      </x:c>
      <x:c r="J406" s="73" t="n">
        <x:f>INDEX(Drivers!$H$8:$H$13,B406)</x:f>
        <x:v>1</x:v>
      </x:c>
      <x:c r="K406" s="73" t="n">
        <x:f>IF(J406=1,INDEX(TrackMap!$I$8:$I$141,H406),INDEX(TrackMap!$L$8:$L$141,H406))</x:f>
        <x:v>2252</x:v>
      </x:c>
      <x:c r="L406" s="73" t="str">
        <x:f>INDEX(TrackMap!$F$8:$F$141,H406)</x:f>
        <x:v>↓</x:v>
      </x:c>
      <x:c r="M406" s="87" t="n">
        <x:f>MAX(0,G406/Control!$B$17)</x:f>
        <x:v>0.33967178281380866</x:v>
      </x:c>
      <x:c r="N406" s="73" t="n">
        <x:f>IF(N400&gt;0,N400,IF(G406&gt;=Control!$B$17,A406,0))</x:f>
        <x:v>0</x:v>
      </x:c>
      <x:c r="O406" s="91" t="n">
        <x:f>IF(N406&gt;0,Control!$B$17+Control!$B$8+1-N406,G406)-B406/100000</x:f>
        <x:v>227.5800644852518</x:v>
      </x:c>
      <x:c r="P406" s="73" t="n">
        <x:f>COUNTIF($O$404:$O$409,"&gt;"&amp;O406)+1</x:f>
        <x:v>2</x:v>
      </x:c>
      <x:c r="Q406" s="83" t="n">
        <x:f>MAX($G$404:$G$409)-G406</x:f>
        <x:v>4.856550172648042</x:v>
      </x:c>
      <x:c r="R406" s="73" t="str">
        <x:f>INDEX(TrackMap!$B$8:$B$141,H406)</x:f>
        <x:v>东侧长直道</x:v>
      </x:c>
    </x:row>
    <x:row r="407" ht="20" customHeight="1">
      <x:c r="A407" s="73" t="n">
        <x:v>66</x:v>
      </x:c>
      <x:c r="B407" s="73" t="n">
        <x:v>4</x:v>
      </x:c>
      <x:c r="C407" s="73" t="str">
        <x:f>INDEX(Drivers!$B$8:$B$13,B407)</x:f>
        <x:v>紫影</x:v>
      </x:c>
      <x:c r="D407" s="83" t="n">
        <x:f>G401</x:f>
        <x:v>217.38632947625123</x:v>
      </x:c>
      <x:c r="E407" s="83" t="str">
        <x:f>IF(A407=0,"GRID",IF(D407&gt;=Control!$B$17,"FINISHED",IF(AND(A407&gt;=INDEX(Drivers!$G$8:$G$13,B407),A407&lt;INDEX(Drivers!$G$8:$G$13,B407)+INDEX(Drivers!$J$8:$J$13,B407)),"PIT",IF(MOD(A407+INDEX(Drivers!$F$8:$F$13,B407),Control!$B$11)&lt;Control!$B$13,"BOOST","RACE"))))</x:f>
        <x:v>RACE</x:v>
      </x:c>
      <x:c r="F407" s="83" t="n">
        <x:f>IF(OR(E407="GRID",E407="FINISHED",E407="PIT"),0,MAX(Control!$B$15,(INDEX(Drivers!$D$8:$D$13,B407)+INDEX(Drivers!$E$8:$E$13,B407)*SIN((A407+INDEX(Drivers!$F$8:$F$13,B407)+Control!$B$16)*Control!$B$14))*INDEX(TrackMap!$M$8:$M$141,MOD(INT(D407)-1,Control!$B$7)+1)*IF(E407="BOOST",Control!$B$12,1)))</x:f>
        <x:v>2.6617831136108294</x:v>
      </x:c>
      <x:c r="G407" s="83" t="n">
        <x:f>IF(A407=0,D407,MIN(Control!$B$17,D407+F407))</x:f>
        <x:v>220.04811258986206</x:v>
      </x:c>
      <x:c r="H407" s="73" t="n">
        <x:f>MOD(INT(G407)-1,Control!$B$7)+1</x:f>
        <x:v>86</x:v>
      </x:c>
      <x:c r="I407" s="73" t="n">
        <x:f>MIN(Control!$B$6,MAX(1,INT(MAX(0,G407)/Control!$B$7)+1))</x:f>
        <x:v>2</x:v>
      </x:c>
      <x:c r="J407" s="73" t="n">
        <x:f>INDEX(Drivers!$H$8:$H$13,B407)</x:f>
        <x:v>2</x:v>
      </x:c>
      <x:c r="K407" s="73" t="n">
        <x:f>IF(J407=1,INDEX(TrackMap!$I$8:$I$141,H407),INDEX(TrackMap!$L$8:$L$141,H407))</x:f>
        <x:v>1551</x:v>
      </x:c>
      <x:c r="L407" s="73" t="str">
        <x:f>INDEX(TrackMap!$F$8:$F$141,H407)</x:f>
        <x:v>↓</x:v>
      </x:c>
      <x:c r="M407" s="87" t="n">
        <x:f>MAX(0,G407/Control!$B$17)</x:f>
        <x:v>0.3284300187908389</x:v>
      </x:c>
      <x:c r="N407" s="73" t="n">
        <x:f>IF(N401&gt;0,N401,IF(G407&gt;=Control!$B$17,A407,0))</x:f>
        <x:v>0</x:v>
      </x:c>
      <x:c r="O407" s="91" t="n">
        <x:f>IF(N407&gt;0,Control!$B$17+Control!$B$8+1-N407,G407)-B407/100000</x:f>
        <x:v>220.04807258986204</x:v>
      </x:c>
      <x:c r="P407" s="73" t="n">
        <x:f>COUNTIF($O$404:$O$409,"&gt;"&amp;O407)+1</x:f>
        <x:v>6</x:v>
      </x:c>
      <x:c r="Q407" s="83" t="n">
        <x:f>MAX($G$404:$G$409)-G407</x:f>
        <x:v>12.38853206803779</x:v>
      </x:c>
      <x:c r="R407" s="73" t="str">
        <x:f>INDEX(TrackMap!$B$8:$B$141,H407)</x:f>
        <x:v>东侧长直道</x:v>
      </x:c>
    </x:row>
    <x:row r="408" ht="20" customHeight="1">
      <x:c r="A408" s="73" t="n">
        <x:v>66</x:v>
      </x:c>
      <x:c r="B408" s="73" t="n">
        <x:v>5</x:v>
      </x:c>
      <x:c r="C408" s="73" t="str">
        <x:f>INDEX(Drivers!$B$8:$B$13,B408)</x:f>
        <x:v>青锋</x:v>
      </x:c>
      <x:c r="D408" s="83" t="n">
        <x:f>G402</x:f>
        <x:v>217.68387515862693</x:v>
      </x:c>
      <x:c r="E408" s="83" t="str">
        <x:f>IF(A408=0,"GRID",IF(D408&gt;=Control!$B$17,"FINISHED",IF(AND(A408&gt;=INDEX(Drivers!$G$8:$G$13,B408),A408&lt;INDEX(Drivers!$G$8:$G$13,B408)+INDEX(Drivers!$J$8:$J$13,B408)),"PIT",IF(MOD(A408+INDEX(Drivers!$F$8:$F$13,B408),Control!$B$11)&lt;Control!$B$13,"BOOST","RACE"))))</x:f>
        <x:v>RACE</x:v>
      </x:c>
      <x:c r="F408" s="83" t="n">
        <x:f>IF(OR(E408="GRID",E408="FINISHED",E408="PIT"),0,MAX(Control!$B$15,(INDEX(Drivers!$D$8:$D$13,B408)+INDEX(Drivers!$E$8:$E$13,B408)*SIN((A408+INDEX(Drivers!$F$8:$F$13,B408)+Control!$B$16)*Control!$B$14))*INDEX(TrackMap!$M$8:$M$141,MOD(INT(D408)-1,Control!$B$7)+1)*IF(E408="BOOST",Control!$B$12,1)))</x:f>
        <x:v>2.697696369797795</x:v>
      </x:c>
      <x:c r="G408" s="83" t="n">
        <x:f>IF(A408=0,D408,MIN(Control!$B$17,D408+F408))</x:f>
        <x:v>220.38157152842473</x:v>
      </x:c>
      <x:c r="H408" s="73" t="n">
        <x:f>MOD(INT(G408)-1,Control!$B$7)+1</x:f>
        <x:v>86</x:v>
      </x:c>
      <x:c r="I408" s="73" t="n">
        <x:f>MIN(Control!$B$6,MAX(1,INT(MAX(0,G408)/Control!$B$7)+1))</x:f>
        <x:v>2</x:v>
      </x:c>
      <x:c r="J408" s="73" t="n">
        <x:f>INDEX(Drivers!$H$8:$H$13,B408)</x:f>
        <x:v>1</x:v>
      </x:c>
      <x:c r="K408" s="73" t="n">
        <x:f>IF(J408=1,INDEX(TrackMap!$I$8:$I$141,H408),INDEX(TrackMap!$L$8:$L$141,H408))</x:f>
        <x:v>1552</x:v>
      </x:c>
      <x:c r="L408" s="73" t="str">
        <x:f>INDEX(TrackMap!$F$8:$F$141,H408)</x:f>
        <x:v>↓</x:v>
      </x:c>
      <x:c r="M408" s="87" t="n">
        <x:f>MAX(0,G408/Control!$B$17)</x:f>
        <x:v>0.3289277186991414</x:v>
      </x:c>
      <x:c r="N408" s="73" t="n">
        <x:f>IF(N402&gt;0,N402,IF(G408&gt;=Control!$B$17,A408,0))</x:f>
        <x:v>0</x:v>
      </x:c>
      <x:c r="O408" s="91" t="n">
        <x:f>IF(N408&gt;0,Control!$B$17+Control!$B$8+1-N408,G408)-B408/100000</x:f>
        <x:v>220.38152152842474</x:v>
      </x:c>
      <x:c r="P408" s="73" t="n">
        <x:f>COUNTIF($O$404:$O$409,"&gt;"&amp;O408)+1</x:f>
        <x:v>5</x:v>
      </x:c>
      <x:c r="Q408" s="83" t="n">
        <x:f>MAX($G$404:$G$409)-G408</x:f>
        <x:v>12.055073129475119</x:v>
      </x:c>
      <x:c r="R408" s="73" t="str">
        <x:f>INDEX(TrackMap!$B$8:$B$141,H408)</x:f>
        <x:v>东侧长直道</x:v>
      </x:c>
    </x:row>
    <x:row r="409" ht="20" customHeight="1">
      <x:c r="A409" s="73" t="n">
        <x:v>66</x:v>
      </x:c>
      <x:c r="B409" s="73" t="n">
        <x:v>6</x:v>
      </x:c>
      <x:c r="C409" s="73" t="str">
        <x:f>INDEX(Drivers!$B$8:$B$13,B409)</x:f>
        <x:v>玫速</x:v>
      </x:c>
      <x:c r="D409" s="83" t="n">
        <x:f>G403</x:f>
        <x:v>218.05698479368695</x:v>
      </x:c>
      <x:c r="E409" s="83" t="str">
        <x:f>IF(A409=0,"GRID",IF(D409&gt;=Control!$B$17,"FINISHED",IF(AND(A409&gt;=INDEX(Drivers!$G$8:$G$13,B409),A409&lt;INDEX(Drivers!$G$8:$G$13,B409)+INDEX(Drivers!$J$8:$J$13,B409)),"PIT",IF(MOD(A409+INDEX(Drivers!$F$8:$F$13,B409),Control!$B$11)&lt;Control!$B$13,"BOOST","RACE"))))</x:f>
        <x:v>RACE</x:v>
      </x:c>
      <x:c r="F409" s="83" t="n">
        <x:f>IF(OR(E409="GRID",E409="FINISHED",E409="PIT"),0,MAX(Control!$B$15,(INDEX(Drivers!$D$8:$D$13,B409)+INDEX(Drivers!$E$8:$E$13,B409)*SIN((A409+INDEX(Drivers!$F$8:$F$13,B409)+Control!$B$16)*Control!$B$14))*INDEX(TrackMap!$M$8:$M$141,MOD(INT(D409)-1,Control!$B$7)+1)*IF(E409="BOOST",Control!$B$12,1)))</x:f>
        <x:v>4.1453047435666095</x:v>
      </x:c>
      <x:c r="G409" s="83" t="n">
        <x:f>IF(A409=0,D409,MIN(Control!$B$17,D409+F409))</x:f>
        <x:v>222.20228953725356</x:v>
      </x:c>
      <x:c r="H409" s="73" t="n">
        <x:f>MOD(INT(G409)-1,Control!$B$7)+1</x:f>
        <x:v>88</x:v>
      </x:c>
      <x:c r="I409" s="73" t="n">
        <x:f>MIN(Control!$B$6,MAX(1,INT(MAX(0,G409)/Control!$B$7)+1))</x:f>
        <x:v>2</x:v>
      </x:c>
      <x:c r="J409" s="73" t="n">
        <x:f>INDEX(Drivers!$H$8:$H$13,B409)</x:f>
        <x:v>2</x:v>
      </x:c>
      <x:c r="K409" s="73" t="n">
        <x:f>IF(J409=1,INDEX(TrackMap!$I$8:$I$141,H409),INDEX(TrackMap!$L$8:$L$141,H409))</x:f>
        <x:v>1751</x:v>
      </x:c>
      <x:c r="L409" s="73" t="str">
        <x:f>INDEX(TrackMap!$F$8:$F$141,H409)</x:f>
        <x:v>↓</x:v>
      </x:c>
      <x:c r="M409" s="87" t="n">
        <x:f>MAX(0,G409/Control!$B$17)</x:f>
        <x:v>0.33164520826455757</x:v>
      </x:c>
      <x:c r="N409" s="73" t="n">
        <x:f>IF(N403&gt;0,N403,IF(G409&gt;=Control!$B$17,A409,0))</x:f>
        <x:v>0</x:v>
      </x:c>
      <x:c r="O409" s="91" t="n">
        <x:f>IF(N409&gt;0,Control!$B$17+Control!$B$8+1-N409,G409)-B409/100000</x:f>
        <x:v>222.20222953725357</x:v>
      </x:c>
      <x:c r="P409" s="73" t="n">
        <x:f>COUNTIF($O$404:$O$409,"&gt;"&amp;O409)+1</x:f>
        <x:v>4</x:v>
      </x:c>
      <x:c r="Q409" s="83" t="n">
        <x:f>MAX($G$404:$G$409)-G409</x:f>
        <x:v>10.234355120646285</x:v>
      </x:c>
      <x:c r="R409" s="73" t="str">
        <x:f>INDEX(TrackMap!$B$8:$B$141,H409)</x:f>
        <x:v>东侧长直道</x:v>
      </x:c>
    </x:row>
    <x:row r="410" ht="20" customHeight="1">
      <x:c r="A410" s="73" t="n">
        <x:v>67</x:v>
      </x:c>
      <x:c r="B410" s="73" t="n">
        <x:v>1</x:v>
      </x:c>
      <x:c r="C410" s="73" t="str">
        <x:f>INDEX(Drivers!$B$8:$B$13,B410)</x:f>
        <x:v>赤焰</x:v>
      </x:c>
      <x:c r="D410" s="83" t="n">
        <x:f>G404</x:f>
        <x:v>232.43664465789985</x:v>
      </x:c>
      <x:c r="E410" s="83" t="str">
        <x:f>IF(A410=0,"GRID",IF(D410&gt;=Control!$B$17,"FINISHED",IF(AND(A410&gt;=INDEX(Drivers!$G$8:$G$13,B410),A410&lt;INDEX(Drivers!$G$8:$G$13,B410)+INDEX(Drivers!$J$8:$J$13,B410)),"PIT",IF(MOD(A410+INDEX(Drivers!$F$8:$F$13,B410),Control!$B$11)&lt;Control!$B$13,"BOOST","RACE"))))</x:f>
        <x:v>RACE</x:v>
      </x:c>
      <x:c r="F410" s="83" t="n">
        <x:f>IF(OR(E410="GRID",E410="FINISHED",E410="PIT"),0,MAX(Control!$B$15,(INDEX(Drivers!$D$8:$D$13,B410)+INDEX(Drivers!$E$8:$E$13,B410)*SIN((A410+INDEX(Drivers!$F$8:$F$13,B410)+Control!$B$16)*Control!$B$14))*INDEX(TrackMap!$M$8:$M$141,MOD(INT(D410)-1,Control!$B$7)+1)*IF(E410="BOOST",Control!$B$12,1)))</x:f>
        <x:v>3.104282359068116</x:v>
      </x:c>
      <x:c r="G410" s="83" t="n">
        <x:f>IF(A410=0,D410,MIN(Control!$B$17,D410+F410))</x:f>
        <x:v>235.54092701696797</x:v>
      </x:c>
      <x:c r="H410" s="73" t="n">
        <x:f>MOD(INT(G410)-1,Control!$B$7)+1</x:f>
        <x:v>101</x:v>
      </x:c>
      <x:c r="I410" s="73" t="n">
        <x:f>MIN(Control!$B$6,MAX(1,INT(MAX(0,G410)/Control!$B$7)+1))</x:f>
        <x:v>2</x:v>
      </x:c>
      <x:c r="J410" s="73" t="n">
        <x:f>INDEX(Drivers!$H$8:$H$13,B410)</x:f>
        <x:v>1</x:v>
      </x:c>
      <x:c r="K410" s="73" t="n">
        <x:f>IF(J410=1,INDEX(TrackMap!$I$8:$I$141,H410),INDEX(TrackMap!$L$8:$L$141,H410))</x:f>
        <x:v>3150</x:v>
      </x:c>
      <x:c r="L410" s="73" t="str">
        <x:f>INDEX(TrackMap!$F$8:$F$141,H410)</x:f>
        <x:v>←</x:v>
      </x:c>
      <x:c r="M410" s="87" t="n">
        <x:f>MAX(0,G410/Control!$B$17)</x:f>
        <x:v>0.351553622413385</x:v>
      </x:c>
      <x:c r="N410" s="73" t="n">
        <x:f>IF(N404&gt;0,N404,IF(G410&gt;=Control!$B$17,A410,0))</x:f>
        <x:v>0</x:v>
      </x:c>
      <x:c r="O410" s="91" t="n">
        <x:f>IF(N410&gt;0,Control!$B$17+Control!$B$8+1-N410,G410)-B410/100000</x:f>
        <x:v>235.54091701696797</x:v>
      </x:c>
      <x:c r="P410" s="73" t="n">
        <x:f>COUNTIF($O$410:$O$415,"&gt;"&amp;O410)+1</x:f>
        <x:v>1</x:v>
      </x:c>
      <x:c r="Q410" s="83" t="n">
        <x:f>MAX($G$410:$G$415)-G410</x:f>
        <x:v>0</x:v>
      </x:c>
      <x:c r="R410" s="73" t="str">
        <x:f>INDEX(TrackMap!$B$8:$B$141,H410)</x:f>
        <x:v>发车大直道</x:v>
      </x:c>
    </x:row>
    <x:row r="411" ht="20" customHeight="1">
      <x:c r="A411" s="73" t="n">
        <x:v>67</x:v>
      </x:c>
      <x:c r="B411" s="73" t="n">
        <x:v>2</x:v>
      </x:c>
      <x:c r="C411" s="73" t="str">
        <x:f>INDEX(Drivers!$B$8:$B$13,B411)</x:f>
        <x:v>蓝电</x:v>
      </x:c>
      <x:c r="D411" s="83" t="n">
        <x:f>G405</x:f>
        <x:v>223.29099562823714</x:v>
      </x:c>
      <x:c r="E411" s="83" t="str">
        <x:f>IF(A411=0,"GRID",IF(D411&gt;=Control!$B$17,"FINISHED",IF(AND(A411&gt;=INDEX(Drivers!$G$8:$G$13,B411),A411&lt;INDEX(Drivers!$G$8:$G$13,B411)+INDEX(Drivers!$J$8:$J$13,B411)),"PIT",IF(MOD(A411+INDEX(Drivers!$F$8:$F$13,B411),Control!$B$11)&lt;Control!$B$13,"BOOST","RACE"))))</x:f>
        <x:v>RACE</x:v>
      </x:c>
      <x:c r="F411" s="83" t="n">
        <x:f>IF(OR(E411="GRID",E411="FINISHED",E411="PIT"),0,MAX(Control!$B$15,(INDEX(Drivers!$D$8:$D$13,B411)+INDEX(Drivers!$E$8:$E$13,B411)*SIN((A411+INDEX(Drivers!$F$8:$F$13,B411)+Control!$B$16)*Control!$B$14))*INDEX(TrackMap!$M$8:$M$141,MOD(INT(D411)-1,Control!$B$7)+1)*IF(E411="BOOST",Control!$B$12,1)))</x:f>
        <x:v>4.126196205469255</x:v>
      </x:c>
      <x:c r="G411" s="83" t="n">
        <x:f>IF(A411=0,D411,MIN(Control!$B$17,D411+F411))</x:f>
        <x:v>227.4171918337064</x:v>
      </x:c>
      <x:c r="H411" s="73" t="n">
        <x:f>MOD(INT(G411)-1,Control!$B$7)+1</x:f>
        <x:v>93</x:v>
      </x:c>
      <x:c r="I411" s="73" t="n">
        <x:f>MIN(Control!$B$6,MAX(1,INT(MAX(0,G411)/Control!$B$7)+1))</x:f>
        <x:v>2</x:v>
      </x:c>
      <x:c r="J411" s="73" t="n">
        <x:f>INDEX(Drivers!$H$8:$H$13,B411)</x:f>
        <x:v>2</x:v>
      </x:c>
      <x:c r="K411" s="73" t="n">
        <x:f>IF(J411=1,INDEX(TrackMap!$I$8:$I$141,H411),INDEX(TrackMap!$L$8:$L$141,H411))</x:f>
        <x:v>2251</x:v>
      </x:c>
      <x:c r="L411" s="73" t="str">
        <x:f>INDEX(TrackMap!$F$8:$F$141,H411)</x:f>
        <x:v>↓</x:v>
      </x:c>
      <x:c r="M411" s="87" t="n">
        <x:f>MAX(0,G411/Control!$B$17)</x:f>
        <x:v>0.33942864452792</x:v>
      </x:c>
      <x:c r="N411" s="73" t="n">
        <x:f>IF(N405&gt;0,N405,IF(G411&gt;=Control!$B$17,A411,0))</x:f>
        <x:v>0</x:v>
      </x:c>
      <x:c r="O411" s="91" t="n">
        <x:f>IF(N411&gt;0,Control!$B$17+Control!$B$8+1-N411,G411)-B411/100000</x:f>
        <x:v>227.4171718337064</x:v>
      </x:c>
      <x:c r="P411" s="73" t="n">
        <x:f>COUNTIF($O$410:$O$415,"&gt;"&amp;O411)+1</x:f>
        <x:v>3</x:v>
      </x:c>
      <x:c r="Q411" s="83" t="n">
        <x:f>MAX($G$410:$G$415)-G411</x:f>
        <x:v>8.123735183261573</x:v>
      </x:c>
      <x:c r="R411" s="73" t="str">
        <x:f>INDEX(TrackMap!$B$8:$B$141,H411)</x:f>
        <x:v>东侧长直道</x:v>
      </x:c>
    </x:row>
    <x:row r="412" ht="20" customHeight="1">
      <x:c r="A412" s="73" t="n">
        <x:v>67</x:v>
      </x:c>
      <x:c r="B412" s="73" t="n">
        <x:v>3</x:v>
      </x:c>
      <x:c r="C412" s="73" t="str">
        <x:f>INDEX(Drivers!$B$8:$B$13,B412)</x:f>
        <x:v>金翼</x:v>
      </x:c>
      <x:c r="D412" s="83" t="n">
        <x:f>G406</x:f>
        <x:v>227.5800944852518</x:v>
      </x:c>
      <x:c r="E412" s="83" t="str">
        <x:f>IF(A412=0,"GRID",IF(D412&gt;=Control!$B$17,"FINISHED",IF(AND(A412&gt;=INDEX(Drivers!$G$8:$G$13,B412),A412&lt;INDEX(Drivers!$G$8:$G$13,B412)+INDEX(Drivers!$J$8:$J$13,B412)),"PIT",IF(MOD(A412+INDEX(Drivers!$F$8:$F$13,B412),Control!$B$11)&lt;Control!$B$13,"BOOST","RACE"))))</x:f>
        <x:v>RACE</x:v>
      </x:c>
      <x:c r="F412" s="83" t="n">
        <x:f>IF(OR(E412="GRID",E412="FINISHED",E412="PIT"),0,MAX(Control!$B$15,(INDEX(Drivers!$D$8:$D$13,B412)+INDEX(Drivers!$E$8:$E$13,B412)*SIN((A412+INDEX(Drivers!$F$8:$F$13,B412)+Control!$B$16)*Control!$B$14))*INDEX(TrackMap!$M$8:$M$141,MOD(INT(D412)-1,Control!$B$7)+1)*IF(E412="BOOST",Control!$B$12,1)))</x:f>
        <x:v>3.4207896424344684</x:v>
      </x:c>
      <x:c r="G412" s="83" t="n">
        <x:f>IF(A412=0,D412,MIN(Control!$B$17,D412+F412))</x:f>
        <x:v>231.00088412768628</x:v>
      </x:c>
      <x:c r="H412" s="73" t="n">
        <x:f>MOD(INT(G412)-1,Control!$B$7)+1</x:f>
        <x:v>97</x:v>
      </x:c>
      <x:c r="I412" s="73" t="n">
        <x:f>MIN(Control!$B$6,MAX(1,INT(MAX(0,G412)/Control!$B$7)+1))</x:f>
        <x:v>2</x:v>
      </x:c>
      <x:c r="J412" s="73" t="n">
        <x:f>INDEX(Drivers!$H$8:$H$13,B412)</x:f>
        <x:v>1</x:v>
      </x:c>
      <x:c r="K412" s="73" t="n">
        <x:f>IF(J412=1,INDEX(TrackMap!$I$8:$I$141,H412),INDEX(TrackMap!$L$8:$L$141,H412))</x:f>
        <x:v>2652</x:v>
      </x:c>
      <x:c r="L412" s="73" t="str">
        <x:f>INDEX(TrackMap!$F$8:$F$141,H412)</x:f>
        <x:v>↓</x:v>
      </x:c>
      <x:c r="M412" s="87" t="n">
        <x:f>MAX(0,G412/Control!$B$17)</x:f>
        <x:v>0.34477743899654667</x:v>
      </x:c>
      <x:c r="N412" s="73" t="n">
        <x:f>IF(N406&gt;0,N406,IF(G412&gt;=Control!$B$17,A412,0))</x:f>
        <x:v>0</x:v>
      </x:c>
      <x:c r="O412" s="91" t="n">
        <x:f>IF(N412&gt;0,Control!$B$17+Control!$B$8+1-N412,G412)-B412/100000</x:f>
        <x:v>231.00085412768627</x:v>
      </x:c>
      <x:c r="P412" s="73" t="n">
        <x:f>COUNTIF($O$410:$O$415,"&gt;"&amp;O412)+1</x:f>
        <x:v>2</x:v>
      </x:c>
      <x:c r="Q412" s="83" t="n">
        <x:f>MAX($G$410:$G$415)-G412</x:f>
        <x:v>4.540042889281693</x:v>
      </x:c>
      <x:c r="R412" s="73" t="str">
        <x:f>INDEX(TrackMap!$B$8:$B$141,H412)</x:f>
        <x:v>东侧长直道</x:v>
      </x:c>
    </x:row>
    <x:row r="413" ht="20" customHeight="1">
      <x:c r="A413" s="73" t="n">
        <x:v>67</x:v>
      </x:c>
      <x:c r="B413" s="73" t="n">
        <x:v>4</x:v>
      </x:c>
      <x:c r="C413" s="73" t="str">
        <x:f>INDEX(Drivers!$B$8:$B$13,B413)</x:f>
        <x:v>紫影</x:v>
      </x:c>
      <x:c r="D413" s="83" t="n">
        <x:f>G407</x:f>
        <x:v>220.04811258986206</x:v>
      </x:c>
      <x:c r="E413" s="83" t="str">
        <x:f>IF(A413=0,"GRID",IF(D413&gt;=Control!$B$17,"FINISHED",IF(AND(A413&gt;=INDEX(Drivers!$G$8:$G$13,B413),A413&lt;INDEX(Drivers!$G$8:$G$13,B413)+INDEX(Drivers!$J$8:$J$13,B413)),"PIT",IF(MOD(A413+INDEX(Drivers!$F$8:$F$13,B413),Control!$B$11)&lt;Control!$B$13,"BOOST","RACE"))))</x:f>
        <x:v>RACE</x:v>
      </x:c>
      <x:c r="F413" s="83" t="n">
        <x:f>IF(OR(E413="GRID",E413="FINISHED",E413="PIT"),0,MAX(Control!$B$15,(INDEX(Drivers!$D$8:$D$13,B413)+INDEX(Drivers!$E$8:$E$13,B413)*SIN((A413+INDEX(Drivers!$F$8:$F$13,B413)+Control!$B$16)*Control!$B$14))*INDEX(TrackMap!$M$8:$M$141,MOD(INT(D413)-1,Control!$B$7)+1)*IF(E413="BOOST",Control!$B$12,1)))</x:f>
        <x:v>3.623708523577847</x:v>
      </x:c>
      <x:c r="G413" s="83" t="n">
        <x:f>IF(A413=0,D413,MIN(Control!$B$17,D413+F413))</x:f>
        <x:v>223.6718211134399</x:v>
      </x:c>
      <x:c r="H413" s="73" t="n">
        <x:f>MOD(INT(G413)-1,Control!$B$7)+1</x:f>
        <x:v>89</x:v>
      </x:c>
      <x:c r="I413" s="73" t="n">
        <x:f>MIN(Control!$B$6,MAX(1,INT(MAX(0,G413)/Control!$B$7)+1))</x:f>
        <x:v>2</x:v>
      </x:c>
      <x:c r="J413" s="73" t="n">
        <x:f>INDEX(Drivers!$H$8:$H$13,B413)</x:f>
        <x:v>2</x:v>
      </x:c>
      <x:c r="K413" s="73" t="n">
        <x:f>IF(J413=1,INDEX(TrackMap!$I$8:$I$141,H413),INDEX(TrackMap!$L$8:$L$141,H413))</x:f>
        <x:v>1851</x:v>
      </x:c>
      <x:c r="L413" s="73" t="str">
        <x:f>INDEX(TrackMap!$F$8:$F$141,H413)</x:f>
        <x:v>↓</x:v>
      </x:c>
      <x:c r="M413" s="87" t="n">
        <x:f>MAX(0,G413/Control!$B$17)</x:f>
        <x:v>0.3338385389752834</x:v>
      </x:c>
      <x:c r="N413" s="73" t="n">
        <x:f>IF(N407&gt;0,N407,IF(G413&gt;=Control!$B$17,A413,0))</x:f>
        <x:v>0</x:v>
      </x:c>
      <x:c r="O413" s="91" t="n">
        <x:f>IF(N413&gt;0,Control!$B$17+Control!$B$8+1-N413,G413)-B413/100000</x:f>
        <x:v>223.6717811134399</x:v>
      </x:c>
      <x:c r="P413" s="73" t="n">
        <x:f>COUNTIF($O$410:$O$415,"&gt;"&amp;O413)+1</x:f>
        <x:v>6</x:v>
      </x:c>
      <x:c r="Q413" s="83" t="n">
        <x:f>MAX($G$410:$G$415)-G413</x:f>
        <x:v>11.869105903528066</x:v>
      </x:c>
      <x:c r="R413" s="73" t="str">
        <x:f>INDEX(TrackMap!$B$8:$B$141,H413)</x:f>
        <x:v>东侧长直道</x:v>
      </x:c>
    </x:row>
    <x:row r="414" ht="20" customHeight="1">
      <x:c r="A414" s="73" t="n">
        <x:v>67</x:v>
      </x:c>
      <x:c r="B414" s="73" t="n">
        <x:v>5</x:v>
      </x:c>
      <x:c r="C414" s="73" t="str">
        <x:f>INDEX(Drivers!$B$8:$B$13,B414)</x:f>
        <x:v>青锋</x:v>
      </x:c>
      <x:c r="D414" s="83" t="n">
        <x:f>G408</x:f>
        <x:v>220.38157152842473</x:v>
      </x:c>
      <x:c r="E414" s="83" t="str">
        <x:f>IF(A414=0,"GRID",IF(D414&gt;=Control!$B$17,"FINISHED",IF(AND(A414&gt;=INDEX(Drivers!$G$8:$G$13,B414),A414&lt;INDEX(Drivers!$G$8:$G$13,B414)+INDEX(Drivers!$J$8:$J$13,B414)),"PIT",IF(MOD(A414+INDEX(Drivers!$F$8:$F$13,B414),Control!$B$11)&lt;Control!$B$13,"BOOST","RACE"))))</x:f>
        <x:v>RACE</x:v>
      </x:c>
      <x:c r="F414" s="83" t="n">
        <x:f>IF(OR(E414="GRID",E414="FINISHED",E414="PIT"),0,MAX(Control!$B$15,(INDEX(Drivers!$D$8:$D$13,B414)+INDEX(Drivers!$E$8:$E$13,B414)*SIN((A414+INDEX(Drivers!$F$8:$F$13,B414)+Control!$B$16)*Control!$B$14))*INDEX(TrackMap!$M$8:$M$141,MOD(INT(D414)-1,Control!$B$7)+1)*IF(E414="BOOST",Control!$B$12,1)))</x:f>
        <x:v>3.6477147730573116</x:v>
      </x:c>
      <x:c r="G414" s="83" t="n">
        <x:f>IF(A414=0,D414,MIN(Control!$B$17,D414+F414))</x:f>
        <x:v>224.02928630148205</x:v>
      </x:c>
      <x:c r="H414" s="73" t="n">
        <x:f>MOD(INT(G414)-1,Control!$B$7)+1</x:f>
        <x:v>90</x:v>
      </x:c>
      <x:c r="I414" s="73" t="n">
        <x:f>MIN(Control!$B$6,MAX(1,INT(MAX(0,G414)/Control!$B$7)+1))</x:f>
        <x:v>2</x:v>
      </x:c>
      <x:c r="J414" s="73" t="n">
        <x:f>INDEX(Drivers!$H$8:$H$13,B414)</x:f>
        <x:v>1</x:v>
      </x:c>
      <x:c r="K414" s="73" t="n">
        <x:f>IF(J414=1,INDEX(TrackMap!$I$8:$I$141,H414),INDEX(TrackMap!$L$8:$L$141,H414))</x:f>
        <x:v>1952</x:v>
      </x:c>
      <x:c r="L414" s="73" t="str">
        <x:f>INDEX(TrackMap!$F$8:$F$141,H414)</x:f>
        <x:v>↓</x:v>
      </x:c>
      <x:c r="M414" s="87" t="n">
        <x:f>MAX(0,G414/Control!$B$17)</x:f>
        <x:v>0.3343720691066896</x:v>
      </x:c>
      <x:c r="N414" s="73" t="n">
        <x:f>IF(N408&gt;0,N408,IF(G414&gt;=Control!$B$17,A414,0))</x:f>
        <x:v>0</x:v>
      </x:c>
      <x:c r="O414" s="91" t="n">
        <x:f>IF(N414&gt;0,Control!$B$17+Control!$B$8+1-N414,G414)-B414/100000</x:f>
        <x:v>224.02923630148206</x:v>
      </x:c>
      <x:c r="P414" s="73" t="n">
        <x:f>COUNTIF($O$410:$O$415,"&gt;"&amp;O414)+1</x:f>
        <x:v>5</x:v>
      </x:c>
      <x:c r="Q414" s="83" t="n">
        <x:f>MAX($G$410:$G$415)-G414</x:f>
        <x:v>11.511640715485925</x:v>
      </x:c>
      <x:c r="R414" s="73" t="str">
        <x:f>INDEX(TrackMap!$B$8:$B$141,H414)</x:f>
        <x:v>东侧长直道</x:v>
      </x:c>
    </x:row>
    <x:row r="415" ht="20" customHeight="1">
      <x:c r="A415" s="73" t="n">
        <x:v>67</x:v>
      </x:c>
      <x:c r="B415" s="73" t="n">
        <x:v>6</x:v>
      </x:c>
      <x:c r="C415" s="73" t="str">
        <x:f>INDEX(Drivers!$B$8:$B$13,B415)</x:f>
        <x:v>玫速</x:v>
      </x:c>
      <x:c r="D415" s="83" t="n">
        <x:f>G409</x:f>
        <x:v>222.20228953725356</x:v>
      </x:c>
      <x:c r="E415" s="83" t="str">
        <x:f>IF(A415=0,"GRID",IF(D415&gt;=Control!$B$17,"FINISHED",IF(AND(A415&gt;=INDEX(Drivers!$G$8:$G$13,B415),A415&lt;INDEX(Drivers!$G$8:$G$13,B415)+INDEX(Drivers!$J$8:$J$13,B415)),"PIT",IF(MOD(A415+INDEX(Drivers!$F$8:$F$13,B415),Control!$B$11)&lt;Control!$B$13,"BOOST","RACE"))))</x:f>
        <x:v>RACE</x:v>
      </x:c>
      <x:c r="F415" s="83" t="n">
        <x:f>IF(OR(E415="GRID",E415="FINISHED",E415="PIT"),0,MAX(Control!$B$15,(INDEX(Drivers!$D$8:$D$13,B415)+INDEX(Drivers!$E$8:$E$13,B415)*SIN((A415+INDEX(Drivers!$F$8:$F$13,B415)+Control!$B$16)*Control!$B$14))*INDEX(TrackMap!$M$8:$M$141,MOD(INT(D415)-1,Control!$B$7)+1)*IF(E415="BOOST",Control!$B$12,1)))</x:f>
        <x:v>3.97683542966264</x:v>
      </x:c>
      <x:c r="G415" s="83" t="n">
        <x:f>IF(A415=0,D415,MIN(Control!$B$17,D415+F415))</x:f>
        <x:v>226.1791249669162</x:v>
      </x:c>
      <x:c r="H415" s="73" t="n">
        <x:f>MOD(INT(G415)-1,Control!$B$7)+1</x:f>
        <x:v>92</x:v>
      </x:c>
      <x:c r="I415" s="73" t="n">
        <x:f>MIN(Control!$B$6,MAX(1,INT(MAX(0,G415)/Control!$B$7)+1))</x:f>
        <x:v>2</x:v>
      </x:c>
      <x:c r="J415" s="73" t="n">
        <x:f>INDEX(Drivers!$H$8:$H$13,B415)</x:f>
        <x:v>2</x:v>
      </x:c>
      <x:c r="K415" s="73" t="n">
        <x:f>IF(J415=1,INDEX(TrackMap!$I$8:$I$141,H415),INDEX(TrackMap!$L$8:$L$141,H415))</x:f>
        <x:v>2151</x:v>
      </x:c>
      <x:c r="L415" s="73" t="str">
        <x:f>INDEX(TrackMap!$F$8:$F$141,H415)</x:f>
        <x:v>↓</x:v>
      </x:c>
      <x:c r="M415" s="87" t="n">
        <x:f>MAX(0,G415/Control!$B$17)</x:f>
        <x:v>0.33758078353271076</x:v>
      </x:c>
      <x:c r="N415" s="73" t="n">
        <x:f>IF(N409&gt;0,N409,IF(G415&gt;=Control!$B$17,A415,0))</x:f>
        <x:v>0</x:v>
      </x:c>
      <x:c r="O415" s="91" t="n">
        <x:f>IF(N415&gt;0,Control!$B$17+Control!$B$8+1-N415,G415)-B415/100000</x:f>
        <x:v>226.1790649669162</x:v>
      </x:c>
      <x:c r="P415" s="73" t="n">
        <x:f>COUNTIF($O$410:$O$415,"&gt;"&amp;O415)+1</x:f>
        <x:v>4</x:v>
      </x:c>
      <x:c r="Q415" s="83" t="n">
        <x:f>MAX($G$410:$G$415)-G415</x:f>
        <x:v>9.361802050051779</x:v>
      </x:c>
      <x:c r="R415" s="73" t="str">
        <x:f>INDEX(TrackMap!$B$8:$B$141,H415)</x:f>
        <x:v>东侧长直道</x:v>
      </x:c>
    </x:row>
    <x:row r="416" ht="20" customHeight="1">
      <x:c r="A416" s="73" t="n">
        <x:v>68</x:v>
      </x:c>
      <x:c r="B416" s="73" t="n">
        <x:v>1</x:v>
      </x:c>
      <x:c r="C416" s="73" t="str">
        <x:f>INDEX(Drivers!$B$8:$B$13,B416)</x:f>
        <x:v>赤焰</x:v>
      </x:c>
      <x:c r="D416" s="83" t="n">
        <x:f>G410</x:f>
        <x:v>235.54092701696797</x:v>
      </x:c>
      <x:c r="E416" s="83" t="str">
        <x:f>IF(A416=0,"GRID",IF(D416&gt;=Control!$B$17,"FINISHED",IF(AND(A416&gt;=INDEX(Drivers!$G$8:$G$13,B416),A416&lt;INDEX(Drivers!$G$8:$G$13,B416)+INDEX(Drivers!$J$8:$J$13,B416)),"PIT",IF(MOD(A416+INDEX(Drivers!$F$8:$F$13,B416),Control!$B$11)&lt;Control!$B$13,"BOOST","RACE"))))</x:f>
        <x:v>RACE</x:v>
      </x:c>
      <x:c r="F416" s="83" t="n">
        <x:f>IF(OR(E416="GRID",E416="FINISHED",E416="PIT"),0,MAX(Control!$B$15,(INDEX(Drivers!$D$8:$D$13,B416)+INDEX(Drivers!$E$8:$E$13,B416)*SIN((A416+INDEX(Drivers!$F$8:$F$13,B416)+Control!$B$16)*Control!$B$14))*INDEX(TrackMap!$M$8:$M$141,MOD(INT(D416)-1,Control!$B$7)+1)*IF(E416="BOOST",Control!$B$12,1)))</x:f>
        <x:v>2.469466891552542</x:v>
      </x:c>
      <x:c r="G416" s="83" t="n">
        <x:f>IF(A416=0,D416,MIN(Control!$B$17,D416+F416))</x:f>
        <x:v>238.0103939085205</x:v>
      </x:c>
      <x:c r="H416" s="73" t="n">
        <x:f>MOD(INT(G416)-1,Control!$B$7)+1</x:f>
        <x:v>104</x:v>
      </x:c>
      <x:c r="I416" s="73" t="n">
        <x:f>MIN(Control!$B$6,MAX(1,INT(MAX(0,G416)/Control!$B$7)+1))</x:f>
        <x:v>2</x:v>
      </x:c>
      <x:c r="J416" s="73" t="n">
        <x:f>INDEX(Drivers!$H$8:$H$13,B416)</x:f>
        <x:v>1</x:v>
      </x:c>
      <x:c r="K416" s="73" t="n">
        <x:f>IF(J416=1,INDEX(TrackMap!$I$8:$I$141,H416),INDEX(TrackMap!$L$8:$L$141,H416))</x:f>
        <x:v>3147</x:v>
      </x:c>
      <x:c r="L416" s="73" t="str">
        <x:f>INDEX(TrackMap!$F$8:$F$141,H416)</x:f>
        <x:v>←</x:v>
      </x:c>
      <x:c r="M416" s="87" t="n">
        <x:f>MAX(0,G416/Control!$B$17)</x:f>
        <x:v>0.3552393938933142</x:v>
      </x:c>
      <x:c r="N416" s="73" t="n">
        <x:f>IF(N410&gt;0,N410,IF(G416&gt;=Control!$B$17,A416,0))</x:f>
        <x:v>0</x:v>
      </x:c>
      <x:c r="O416" s="91" t="n">
        <x:f>IF(N416&gt;0,Control!$B$17+Control!$B$8+1-N416,G416)-B416/100000</x:f>
        <x:v>238.0103839085205</x:v>
      </x:c>
      <x:c r="P416" s="73" t="n">
        <x:f>COUNTIF($O$416:$O$421,"&gt;"&amp;O416)+1</x:f>
        <x:v>1</x:v>
      </x:c>
      <x:c r="Q416" s="83" t="n">
        <x:f>MAX($G$416:$G$421)-G416</x:f>
        <x:v>0</x:v>
      </x:c>
      <x:c r="R416" s="73" t="str">
        <x:f>INDEX(TrackMap!$B$8:$B$141,H416)</x:f>
        <x:v>发车大直道</x:v>
      </x:c>
    </x:row>
    <x:row r="417" ht="20" customHeight="1">
      <x:c r="A417" s="73" t="n">
        <x:v>68</x:v>
      </x:c>
      <x:c r="B417" s="73" t="n">
        <x:v>2</x:v>
      </x:c>
      <x:c r="C417" s="73" t="str">
        <x:f>INDEX(Drivers!$B$8:$B$13,B417)</x:f>
        <x:v>蓝电</x:v>
      </x:c>
      <x:c r="D417" s="83" t="n">
        <x:f>G411</x:f>
        <x:v>227.4171918337064</x:v>
      </x:c>
      <x:c r="E417" s="83" t="str">
        <x:f>IF(A417=0,"GRID",IF(D417&gt;=Control!$B$17,"FINISHED",IF(AND(A417&gt;=INDEX(Drivers!$G$8:$G$13,B417),A417&lt;INDEX(Drivers!$G$8:$G$13,B417)+INDEX(Drivers!$J$8:$J$13,B417)),"PIT",IF(MOD(A417+INDEX(Drivers!$F$8:$F$13,B417),Control!$B$11)&lt;Control!$B$13,"BOOST","RACE"))))</x:f>
        <x:v>RACE</x:v>
      </x:c>
      <x:c r="F417" s="83" t="n">
        <x:f>IF(OR(E417="GRID",E417="FINISHED",E417="PIT"),0,MAX(Control!$B$15,(INDEX(Drivers!$D$8:$D$13,B417)+INDEX(Drivers!$E$8:$E$13,B417)*SIN((A417+INDEX(Drivers!$F$8:$F$13,B417)+Control!$B$16)*Control!$B$14))*INDEX(TrackMap!$M$8:$M$141,MOD(INT(D417)-1,Control!$B$7)+1)*IF(E417="BOOST",Control!$B$12,1)))</x:f>
        <x:v>4.1790350138315695</x:v>
      </x:c>
      <x:c r="G417" s="83" t="n">
        <x:f>IF(A417=0,D417,MIN(Control!$B$17,D417+F417))</x:f>
        <x:v>231.59622684753796</x:v>
      </x:c>
      <x:c r="H417" s="73" t="n">
        <x:f>MOD(INT(G417)-1,Control!$B$7)+1</x:f>
        <x:v>97</x:v>
      </x:c>
      <x:c r="I417" s="73" t="n">
        <x:f>MIN(Control!$B$6,MAX(1,INT(MAX(0,G417)/Control!$B$7)+1))</x:f>
        <x:v>2</x:v>
      </x:c>
      <x:c r="J417" s="73" t="n">
        <x:f>INDEX(Drivers!$H$8:$H$13,B417)</x:f>
        <x:v>2</x:v>
      </x:c>
      <x:c r="K417" s="73" t="n">
        <x:f>IF(J417=1,INDEX(TrackMap!$I$8:$I$141,H417),INDEX(TrackMap!$L$8:$L$141,H417))</x:f>
        <x:v>2651</x:v>
      </x:c>
      <x:c r="L417" s="73" t="str">
        <x:f>INDEX(TrackMap!$F$8:$F$141,H417)</x:f>
        <x:v>↓</x:v>
      </x:c>
      <x:c r="M417" s="87" t="n">
        <x:f>MAX(0,G417/Control!$B$17)</x:f>
        <x:v>0.34566601022020593</x:v>
      </x:c>
      <x:c r="N417" s="73" t="n">
        <x:f>IF(N411&gt;0,N411,IF(G417&gt;=Control!$B$17,A417,0))</x:f>
        <x:v>0</x:v>
      </x:c>
      <x:c r="O417" s="91" t="n">
        <x:f>IF(N417&gt;0,Control!$B$17+Control!$B$8+1-N417,G417)-B417/100000</x:f>
        <x:v>231.59620684753796</x:v>
      </x:c>
      <x:c r="P417" s="73" t="n">
        <x:f>COUNTIF($O$416:$O$421,"&gt;"&amp;O417)+1</x:f>
        <x:v>3</x:v>
      </x:c>
      <x:c r="Q417" s="83" t="n">
        <x:f>MAX($G$416:$G$421)-G417</x:f>
        <x:v>6.41416706098255</x:v>
      </x:c>
      <x:c r="R417" s="73" t="str">
        <x:f>INDEX(TrackMap!$B$8:$B$141,H417)</x:f>
        <x:v>东侧长直道</x:v>
      </x:c>
    </x:row>
    <x:row r="418" ht="20" customHeight="1">
      <x:c r="A418" s="73" t="n">
        <x:v>68</x:v>
      </x:c>
      <x:c r="B418" s="73" t="n">
        <x:v>3</x:v>
      </x:c>
      <x:c r="C418" s="73" t="str">
        <x:f>INDEX(Drivers!$B$8:$B$13,B418)</x:f>
        <x:v>金翼</x:v>
      </x:c>
      <x:c r="D418" s="83" t="n">
        <x:f>G412</x:f>
        <x:v>231.00088412768628</x:v>
      </x:c>
      <x:c r="E418" s="83" t="str">
        <x:f>IF(A418=0,"GRID",IF(D418&gt;=Control!$B$17,"FINISHED",IF(AND(A418&gt;=INDEX(Drivers!$G$8:$G$13,B418),A418&lt;INDEX(Drivers!$G$8:$G$13,B418)+INDEX(Drivers!$J$8:$J$13,B418)),"PIT",IF(MOD(A418+INDEX(Drivers!$F$8:$F$13,B418),Control!$B$11)&lt;Control!$B$13,"BOOST","RACE"))))</x:f>
        <x:v>RACE</x:v>
      </x:c>
      <x:c r="F418" s="83" t="n">
        <x:f>IF(OR(E418="GRID",E418="FINISHED",E418="PIT"),0,MAX(Control!$B$15,(INDEX(Drivers!$D$8:$D$13,B418)+INDEX(Drivers!$E$8:$E$13,B418)*SIN((A418+INDEX(Drivers!$F$8:$F$13,B418)+Control!$B$16)*Control!$B$14))*INDEX(TrackMap!$M$8:$M$141,MOD(INT(D418)-1,Control!$B$7)+1)*IF(E418="BOOST",Control!$B$12,1)))</x:f>
        <x:v>3.289694079785744</x:v>
      </x:c>
      <x:c r="G418" s="83" t="n">
        <x:f>IF(A418=0,D418,MIN(Control!$B$17,D418+F418))</x:f>
        <x:v>234.290578207472</x:v>
      </x:c>
      <x:c r="H418" s="73" t="n">
        <x:f>MOD(INT(G418)-1,Control!$B$7)+1</x:f>
        <x:v>100</x:v>
      </x:c>
      <x:c r="I418" s="73" t="n">
        <x:f>MIN(Control!$B$6,MAX(1,INT(MAX(0,G418)/Control!$B$7)+1))</x:f>
        <x:v>2</x:v>
      </x:c>
      <x:c r="J418" s="73" t="n">
        <x:f>INDEX(Drivers!$H$8:$H$13,B418)</x:f>
        <x:v>1</x:v>
      </x:c>
      <x:c r="K418" s="73" t="n">
        <x:f>IF(J418=1,INDEX(TrackMap!$I$8:$I$141,H418),INDEX(TrackMap!$L$8:$L$141,H418))</x:f>
        <x:v>2952</x:v>
      </x:c>
      <x:c r="L418" s="73" t="str">
        <x:f>INDEX(TrackMap!$F$8:$F$141,H418)</x:f>
        <x:v>↓</x:v>
      </x:c>
      <x:c r="M418" s="87" t="n">
        <x:f>MAX(0,G418/Control!$B$17)</x:f>
        <x:v>0.349687430160406</x:v>
      </x:c>
      <x:c r="N418" s="73" t="n">
        <x:f>IF(N412&gt;0,N412,IF(G418&gt;=Control!$B$17,A418,0))</x:f>
        <x:v>0</x:v>
      </x:c>
      <x:c r="O418" s="91" t="n">
        <x:f>IF(N418&gt;0,Control!$B$17+Control!$B$8+1-N418,G418)-B418/100000</x:f>
        <x:v>234.290548207472</x:v>
      </x:c>
      <x:c r="P418" s="73" t="n">
        <x:f>COUNTIF($O$416:$O$421,"&gt;"&amp;O418)+1</x:f>
        <x:v>2</x:v>
      </x:c>
      <x:c r="Q418" s="83" t="n">
        <x:f>MAX($G$416:$G$421)-G418</x:f>
        <x:v>3.7198157010485033</x:v>
      </x:c>
      <x:c r="R418" s="73" t="str">
        <x:f>INDEX(TrackMap!$B$8:$B$141,H418)</x:f>
        <x:v>东侧长直道</x:v>
      </x:c>
    </x:row>
    <x:row r="419" ht="20" customHeight="1">
      <x:c r="A419" s="73" t="n">
        <x:v>68</x:v>
      </x:c>
      <x:c r="B419" s="73" t="n">
        <x:v>4</x:v>
      </x:c>
      <x:c r="C419" s="73" t="str">
        <x:f>INDEX(Drivers!$B$8:$B$13,B419)</x:f>
        <x:v>紫影</x:v>
      </x:c>
      <x:c r="D419" s="83" t="n">
        <x:f>G413</x:f>
        <x:v>223.6718211134399</x:v>
      </x:c>
      <x:c r="E419" s="83" t="str">
        <x:f>IF(A419=0,"GRID",IF(D419&gt;=Control!$B$17,"FINISHED",IF(AND(A419&gt;=INDEX(Drivers!$G$8:$G$13,B419),A419&lt;INDEX(Drivers!$G$8:$G$13,B419)+INDEX(Drivers!$J$8:$J$13,B419)),"PIT",IF(MOD(A419+INDEX(Drivers!$F$8:$F$13,B419),Control!$B$11)&lt;Control!$B$13,"BOOST","RACE"))))</x:f>
        <x:v>RACE</x:v>
      </x:c>
      <x:c r="F419" s="83" t="n">
        <x:f>IF(OR(E419="GRID",E419="FINISHED",E419="PIT"),0,MAX(Control!$B$15,(INDEX(Drivers!$D$8:$D$13,B419)+INDEX(Drivers!$E$8:$E$13,B419)*SIN((A419+INDEX(Drivers!$F$8:$F$13,B419)+Control!$B$16)*Control!$B$14))*INDEX(TrackMap!$M$8:$M$141,MOD(INT(D419)-1,Control!$B$7)+1)*IF(E419="BOOST",Control!$B$12,1)))</x:f>
        <x:v>3.831665756363923</x:v>
      </x:c>
      <x:c r="G419" s="83" t="n">
        <x:f>IF(A419=0,D419,MIN(Control!$B$17,D419+F419))</x:f>
        <x:v>227.50348686980382</x:v>
      </x:c>
      <x:c r="H419" s="73" t="n">
        <x:f>MOD(INT(G419)-1,Control!$B$7)+1</x:f>
        <x:v>93</x:v>
      </x:c>
      <x:c r="I419" s="73" t="n">
        <x:f>MIN(Control!$B$6,MAX(1,INT(MAX(0,G419)/Control!$B$7)+1))</x:f>
        <x:v>2</x:v>
      </x:c>
      <x:c r="J419" s="73" t="n">
        <x:f>INDEX(Drivers!$H$8:$H$13,B419)</x:f>
        <x:v>2</x:v>
      </x:c>
      <x:c r="K419" s="73" t="n">
        <x:f>IF(J419=1,INDEX(TrackMap!$I$8:$I$141,H419),INDEX(TrackMap!$L$8:$L$141,H419))</x:f>
        <x:v>2251</x:v>
      </x:c>
      <x:c r="L419" s="73" t="str">
        <x:f>INDEX(TrackMap!$F$8:$F$141,H419)</x:f>
        <x:v>↓</x:v>
      </x:c>
      <x:c r="M419" s="87" t="n">
        <x:f>MAX(0,G419/Control!$B$17)</x:f>
        <x:v>0.33955744308925945</x:v>
      </x:c>
      <x:c r="N419" s="73" t="n">
        <x:f>IF(N413&gt;0,N413,IF(G419&gt;=Control!$B$17,A419,0))</x:f>
        <x:v>0</x:v>
      </x:c>
      <x:c r="O419" s="91" t="n">
        <x:f>IF(N419&gt;0,Control!$B$17+Control!$B$8+1-N419,G419)-B419/100000</x:f>
        <x:v>227.5034468698038</x:v>
      </x:c>
      <x:c r="P419" s="73" t="n">
        <x:f>COUNTIF($O$416:$O$421,"&gt;"&amp;O419)+1</x:f>
        <x:v>6</x:v>
      </x:c>
      <x:c r="Q419" s="83" t="n">
        <x:f>MAX($G$416:$G$421)-G419</x:f>
        <x:v>10.50690703871669</x:v>
      </x:c>
      <x:c r="R419" s="73" t="str">
        <x:f>INDEX(TrackMap!$B$8:$B$141,H419)</x:f>
        <x:v>东侧长直道</x:v>
      </x:c>
    </x:row>
    <x:row r="420" ht="20" customHeight="1">
      <x:c r="A420" s="73" t="n">
        <x:v>68</x:v>
      </x:c>
      <x:c r="B420" s="73" t="n">
        <x:v>5</x:v>
      </x:c>
      <x:c r="C420" s="73" t="str">
        <x:f>INDEX(Drivers!$B$8:$B$13,B420)</x:f>
        <x:v>青锋</x:v>
      </x:c>
      <x:c r="D420" s="83" t="n">
        <x:f>G414</x:f>
        <x:v>224.02928630148205</x:v>
      </x:c>
      <x:c r="E420" s="83" t="str">
        <x:f>IF(A420=0,"GRID",IF(D420&gt;=Control!$B$17,"FINISHED",IF(AND(A420&gt;=INDEX(Drivers!$G$8:$G$13,B420),A420&lt;INDEX(Drivers!$G$8:$G$13,B420)+INDEX(Drivers!$J$8:$J$13,B420)),"PIT",IF(MOD(A420+INDEX(Drivers!$F$8:$F$13,B420),Control!$B$11)&lt;Control!$B$13,"BOOST","RACE"))))</x:f>
        <x:v>RACE</x:v>
      </x:c>
      <x:c r="F420" s="83" t="n">
        <x:f>IF(OR(E420="GRID",E420="FINISHED",E420="PIT"),0,MAX(Control!$B$15,(INDEX(Drivers!$D$8:$D$13,B420)+INDEX(Drivers!$E$8:$E$13,B420)*SIN((A420+INDEX(Drivers!$F$8:$F$13,B420)+Control!$B$16)*Control!$B$14))*INDEX(TrackMap!$M$8:$M$141,MOD(INT(D420)-1,Control!$B$7)+1)*IF(E420="BOOST",Control!$B$12,1)))</x:f>
        <x:v>3.8344468452007203</x:v>
      </x:c>
      <x:c r="G420" s="83" t="n">
        <x:f>IF(A420=0,D420,MIN(Control!$B$17,D420+F420))</x:f>
        <x:v>227.86373314668276</x:v>
      </x:c>
      <x:c r="H420" s="73" t="n">
        <x:f>MOD(INT(G420)-1,Control!$B$7)+1</x:f>
        <x:v>93</x:v>
      </x:c>
      <x:c r="I420" s="73" t="n">
        <x:f>MIN(Control!$B$6,MAX(1,INT(MAX(0,G420)/Control!$B$7)+1))</x:f>
        <x:v>2</x:v>
      </x:c>
      <x:c r="J420" s="73" t="n">
        <x:f>INDEX(Drivers!$H$8:$H$13,B420)</x:f>
        <x:v>1</x:v>
      </x:c>
      <x:c r="K420" s="73" t="n">
        <x:f>IF(J420=1,INDEX(TrackMap!$I$8:$I$141,H420),INDEX(TrackMap!$L$8:$L$141,H420))</x:f>
        <x:v>2252</x:v>
      </x:c>
      <x:c r="L420" s="73" t="str">
        <x:f>INDEX(TrackMap!$F$8:$F$141,H420)</x:f>
        <x:v>↓</x:v>
      </x:c>
      <x:c r="M420" s="87" t="n">
        <x:f>MAX(0,G420/Control!$B$17)</x:f>
        <x:v>0.3400951240995265</x:v>
      </x:c>
      <x:c r="N420" s="73" t="n">
        <x:f>IF(N414&gt;0,N414,IF(G420&gt;=Control!$B$17,A420,0))</x:f>
        <x:v>0</x:v>
      </x:c>
      <x:c r="O420" s="91" t="n">
        <x:f>IF(N420&gt;0,Control!$B$17+Control!$B$8+1-N420,G420)-B420/100000</x:f>
        <x:v>227.86368314668277</x:v>
      </x:c>
      <x:c r="P420" s="73" t="n">
        <x:f>COUNTIF($O$416:$O$421,"&gt;"&amp;O420)+1</x:f>
        <x:v>5</x:v>
      </x:c>
      <x:c r="Q420" s="83" t="n">
        <x:f>MAX($G$416:$G$421)-G420</x:f>
        <x:v>10.146660761837751</x:v>
      </x:c>
      <x:c r="R420" s="73" t="str">
        <x:f>INDEX(TrackMap!$B$8:$B$141,H420)</x:f>
        <x:v>东侧长直道</x:v>
      </x:c>
    </x:row>
    <x:row r="421" ht="20" customHeight="1">
      <x:c r="A421" s="73" t="n">
        <x:v>68</x:v>
      </x:c>
      <x:c r="B421" s="73" t="n">
        <x:v>6</x:v>
      </x:c>
      <x:c r="C421" s="73" t="str">
        <x:f>INDEX(Drivers!$B$8:$B$13,B421)</x:f>
        <x:v>玫速</x:v>
      </x:c>
      <x:c r="D421" s="83" t="n">
        <x:f>G415</x:f>
        <x:v>226.1791249669162</x:v>
      </x:c>
      <x:c r="E421" s="83" t="str">
        <x:f>IF(A421=0,"GRID",IF(D421&gt;=Control!$B$17,"FINISHED",IF(AND(A421&gt;=INDEX(Drivers!$G$8:$G$13,B421),A421&lt;INDEX(Drivers!$G$8:$G$13,B421)+INDEX(Drivers!$J$8:$J$13,B421)),"PIT",IF(MOD(A421+INDEX(Drivers!$F$8:$F$13,B421),Control!$B$11)&lt;Control!$B$13,"BOOST","RACE"))))</x:f>
        <x:v>RACE</x:v>
      </x:c>
      <x:c r="F421" s="83" t="n">
        <x:f>IF(OR(E421="GRID",E421="FINISHED",E421="PIT"),0,MAX(Control!$B$15,(INDEX(Drivers!$D$8:$D$13,B421)+INDEX(Drivers!$E$8:$E$13,B421)*SIN((A421+INDEX(Drivers!$F$8:$F$13,B421)+Control!$B$16)*Control!$B$14))*INDEX(TrackMap!$M$8:$M$141,MOD(INT(D421)-1,Control!$B$7)+1)*IF(E421="BOOST",Control!$B$12,1)))</x:f>
        <x:v>3.7681908328717824</x:v>
      </x:c>
      <x:c r="G421" s="83" t="n">
        <x:f>IF(A421=0,D421,MIN(Control!$B$17,D421+F421))</x:f>
        <x:v>229.947315799788</x:v>
      </x:c>
      <x:c r="H421" s="73" t="n">
        <x:f>MOD(INT(G421)-1,Control!$B$7)+1</x:f>
        <x:v>95</x:v>
      </x:c>
      <x:c r="I421" s="73" t="n">
        <x:f>MIN(Control!$B$6,MAX(1,INT(MAX(0,G421)/Control!$B$7)+1))</x:f>
        <x:v>2</x:v>
      </x:c>
      <x:c r="J421" s="73" t="n">
        <x:f>INDEX(Drivers!$H$8:$H$13,B421)</x:f>
        <x:v>2</x:v>
      </x:c>
      <x:c r="K421" s="73" t="n">
        <x:f>IF(J421=1,INDEX(TrackMap!$I$8:$I$141,H421),INDEX(TrackMap!$L$8:$L$141,H421))</x:f>
        <x:v>2451</x:v>
      </x:c>
      <x:c r="L421" s="73" t="str">
        <x:f>INDEX(TrackMap!$F$8:$F$141,H421)</x:f>
        <x:v>↓</x:v>
      </x:c>
      <x:c r="M421" s="87" t="n">
        <x:f>MAX(0,G421/Control!$B$17)</x:f>
        <x:v>0.34320494895490744</x:v>
      </x:c>
      <x:c r="N421" s="73" t="n">
        <x:f>IF(N415&gt;0,N415,IF(G421&gt;=Control!$B$17,A421,0))</x:f>
        <x:v>0</x:v>
      </x:c>
      <x:c r="O421" s="91" t="n">
        <x:f>IF(N421&gt;0,Control!$B$17+Control!$B$8+1-N421,G421)-B421/100000</x:f>
        <x:v>229.947255799788</x:v>
      </x:c>
      <x:c r="P421" s="73" t="n">
        <x:f>COUNTIF($O$416:$O$421,"&gt;"&amp;O421)+1</x:f>
        <x:v>4</x:v>
      </x:c>
      <x:c r="Q421" s="83" t="n">
        <x:f>MAX($G$416:$G$421)-G421</x:f>
        <x:v>8.063078108732526</x:v>
      </x:c>
      <x:c r="R421" s="73" t="str">
        <x:f>INDEX(TrackMap!$B$8:$B$141,H421)</x:f>
        <x:v>东侧长直道</x:v>
      </x:c>
    </x:row>
    <x:row r="422" ht="20" customHeight="1">
      <x:c r="A422" s="73" t="n">
        <x:v>69</x:v>
      </x:c>
      <x:c r="B422" s="73" t="n">
        <x:v>1</x:v>
      </x:c>
      <x:c r="C422" s="73" t="str">
        <x:f>INDEX(Drivers!$B$8:$B$13,B422)</x:f>
        <x:v>赤焰</x:v>
      </x:c>
      <x:c r="D422" s="83" t="n">
        <x:f>G416</x:f>
        <x:v>238.0103939085205</x:v>
      </x:c>
      <x:c r="E422" s="83" t="str">
        <x:f>IF(A422=0,"GRID",IF(D422&gt;=Control!$B$17,"FINISHED",IF(AND(A422&gt;=INDEX(Drivers!$G$8:$G$13,B422),A422&lt;INDEX(Drivers!$G$8:$G$13,B422)+INDEX(Drivers!$J$8:$J$13,B422)),"PIT",IF(MOD(A422+INDEX(Drivers!$F$8:$F$13,B422),Control!$B$11)&lt;Control!$B$13,"BOOST","RACE"))))</x:f>
        <x:v>RACE</x:v>
      </x:c>
      <x:c r="F422" s="83" t="n">
        <x:f>IF(OR(E422="GRID",E422="FINISHED",E422="PIT"),0,MAX(Control!$B$15,(INDEX(Drivers!$D$8:$D$13,B422)+INDEX(Drivers!$E$8:$E$13,B422)*SIN((A422+INDEX(Drivers!$F$8:$F$13,B422)+Control!$B$16)*Control!$B$14))*INDEX(TrackMap!$M$8:$M$141,MOD(INT(D422)-1,Control!$B$7)+1)*IF(E422="BOOST",Control!$B$12,1)))</x:f>
        <x:v>3.293193433554414</x:v>
      </x:c>
      <x:c r="G422" s="83" t="n">
        <x:f>IF(A422=0,D422,MIN(Control!$B$17,D422+F422))</x:f>
        <x:v>241.30358734207493</x:v>
      </x:c>
      <x:c r="H422" s="73" t="n">
        <x:f>MOD(INT(G422)-1,Control!$B$7)+1</x:f>
        <x:v>107</x:v>
      </x:c>
      <x:c r="I422" s="73" t="n">
        <x:f>MIN(Control!$B$6,MAX(1,INT(MAX(0,G422)/Control!$B$7)+1))</x:f>
        <x:v>2</x:v>
      </x:c>
      <x:c r="J422" s="73" t="n">
        <x:f>INDEX(Drivers!$H$8:$H$13,B422)</x:f>
        <x:v>1</x:v>
      </x:c>
      <x:c r="K422" s="73" t="n">
        <x:f>IF(J422=1,INDEX(TrackMap!$I$8:$I$141,H422),INDEX(TrackMap!$L$8:$L$141,H422))</x:f>
        <x:v>3144</x:v>
      </x:c>
      <x:c r="L422" s="73" t="str">
        <x:f>INDEX(TrackMap!$F$8:$F$141,H422)</x:f>
        <x:v>←</x:v>
      </x:c>
      <x:c r="M422" s="87" t="n">
        <x:f>MAX(0,G422/Control!$B$17)</x:f>
        <x:v>0.36015460797324617</x:v>
      </x:c>
      <x:c r="N422" s="73" t="n">
        <x:f>IF(N416&gt;0,N416,IF(G422&gt;=Control!$B$17,A422,0))</x:f>
        <x:v>0</x:v>
      </x:c>
      <x:c r="O422" s="91" t="n">
        <x:f>IF(N422&gt;0,Control!$B$17+Control!$B$8+1-N422,G422)-B422/100000</x:f>
        <x:v>241.30357734207493</x:v>
      </x:c>
      <x:c r="P422" s="73" t="n">
        <x:f>COUNTIF($O$422:$O$427,"&gt;"&amp;O422)+1</x:f>
        <x:v>1</x:v>
      </x:c>
      <x:c r="Q422" s="83" t="n">
        <x:f>MAX($G$422:$G$427)-G422</x:f>
        <x:v>0</x:v>
      </x:c>
      <x:c r="R422" s="73" t="str">
        <x:f>INDEX(TrackMap!$B$8:$B$141,H422)</x:f>
        <x:v>发车大直道</x:v>
      </x:c>
    </x:row>
    <x:row r="423" ht="20" customHeight="1">
      <x:c r="A423" s="73" t="n">
        <x:v>69</x:v>
      </x:c>
      <x:c r="B423" s="73" t="n">
        <x:v>2</x:v>
      </x:c>
      <x:c r="C423" s="73" t="str">
        <x:f>INDEX(Drivers!$B$8:$B$13,B423)</x:f>
        <x:v>蓝电</x:v>
      </x:c>
      <x:c r="D423" s="83" t="n">
        <x:f>G417</x:f>
        <x:v>231.59622684753796</x:v>
      </x:c>
      <x:c r="E423" s="83" t="str">
        <x:f>IF(A423=0,"GRID",IF(D423&gt;=Control!$B$17,"FINISHED",IF(AND(A423&gt;=INDEX(Drivers!$G$8:$G$13,B423),A423&lt;INDEX(Drivers!$G$8:$G$13,B423)+INDEX(Drivers!$J$8:$J$13,B423)),"PIT",IF(MOD(A423+INDEX(Drivers!$F$8:$F$13,B423),Control!$B$11)&lt;Control!$B$13,"BOOST","RACE"))))</x:f>
        <x:v>RACE</x:v>
      </x:c>
      <x:c r="F423" s="83" t="n">
        <x:f>IF(OR(E423="GRID",E423="FINISHED",E423="PIT"),0,MAX(Control!$B$15,(INDEX(Drivers!$D$8:$D$13,B423)+INDEX(Drivers!$E$8:$E$13,B423)*SIN((A423+INDEX(Drivers!$F$8:$F$13,B423)+Control!$B$16)*Control!$B$14))*INDEX(TrackMap!$M$8:$M$141,MOD(INT(D423)-1,Control!$B$7)+1)*IF(E423="BOOST",Control!$B$12,1)))</x:f>
        <x:v>4.15079724327207</x:v>
      </x:c>
      <x:c r="G423" s="83" t="n">
        <x:f>IF(A423=0,D423,MIN(Control!$B$17,D423+F423))</x:f>
        <x:v>235.74702409081004</x:v>
      </x:c>
      <x:c r="H423" s="73" t="n">
        <x:f>MOD(INT(G423)-1,Control!$B$7)+1</x:f>
        <x:v>101</x:v>
      </x:c>
      <x:c r="I423" s="73" t="n">
        <x:f>MIN(Control!$B$6,MAX(1,INT(MAX(0,G423)/Control!$B$7)+1))</x:f>
        <x:v>2</x:v>
      </x:c>
      <x:c r="J423" s="73" t="n">
        <x:f>INDEX(Drivers!$H$8:$H$13,B423)</x:f>
        <x:v>2</x:v>
      </x:c>
      <x:c r="K423" s="73" t="n">
        <x:f>IF(J423=1,INDEX(TrackMap!$I$8:$I$141,H423),INDEX(TrackMap!$L$8:$L$141,H423))</x:f>
        <x:v>3050</x:v>
      </x:c>
      <x:c r="L423" s="73" t="str">
        <x:f>INDEX(TrackMap!$F$8:$F$141,H423)</x:f>
        <x:v>←</x:v>
      </x:c>
      <x:c r="M423" s="87" t="n">
        <x:f>MAX(0,G423/Control!$B$17)</x:f>
        <x:v>0.35186122998628366</x:v>
      </x:c>
      <x:c r="N423" s="73" t="n">
        <x:f>IF(N417&gt;0,N417,IF(G423&gt;=Control!$B$17,A423,0))</x:f>
        <x:v>0</x:v>
      </x:c>
      <x:c r="O423" s="91" t="n">
        <x:f>IF(N423&gt;0,Control!$B$17+Control!$B$8+1-N423,G423)-B423/100000</x:f>
        <x:v>235.74700409081004</x:v>
      </x:c>
      <x:c r="P423" s="73" t="n">
        <x:f>COUNTIF($O$422:$O$427,"&gt;"&amp;O423)+1</x:f>
        <x:v>3</x:v>
      </x:c>
      <x:c r="Q423" s="83" t="n">
        <x:f>MAX($G$422:$G$427)-G423</x:f>
        <x:v>5.55656325126489</x:v>
      </x:c>
      <x:c r="R423" s="73" t="str">
        <x:f>INDEX(TrackMap!$B$8:$B$141,H423)</x:f>
        <x:v>发车大直道</x:v>
      </x:c>
    </x:row>
    <x:row r="424" ht="20" customHeight="1">
      <x:c r="A424" s="73" t="n">
        <x:v>69</x:v>
      </x:c>
      <x:c r="B424" s="73" t="n">
        <x:v>3</x:v>
      </x:c>
      <x:c r="C424" s="73" t="str">
        <x:f>INDEX(Drivers!$B$8:$B$13,B424)</x:f>
        <x:v>金翼</x:v>
      </x:c>
      <x:c r="D424" s="83" t="n">
        <x:f>G418</x:f>
        <x:v>234.290578207472</x:v>
      </x:c>
      <x:c r="E424" s="83" t="str">
        <x:f>IF(A424=0,"GRID",IF(D424&gt;=Control!$B$17,"FINISHED",IF(AND(A424&gt;=INDEX(Drivers!$G$8:$G$13,B424),A424&lt;INDEX(Drivers!$G$8:$G$13,B424)+INDEX(Drivers!$J$8:$J$13,B424)),"PIT",IF(MOD(A424+INDEX(Drivers!$F$8:$F$13,B424),Control!$B$11)&lt;Control!$B$13,"BOOST","RACE"))))</x:f>
        <x:v>RACE</x:v>
      </x:c>
      <x:c r="F424" s="83" t="n">
        <x:f>IF(OR(E424="GRID",E424="FINISHED",E424="PIT"),0,MAX(Control!$B$15,(INDEX(Drivers!$D$8:$D$13,B424)+INDEX(Drivers!$E$8:$E$13,B424)*SIN((A424+INDEX(Drivers!$F$8:$F$13,B424)+Control!$B$16)*Control!$B$14))*INDEX(TrackMap!$M$8:$M$141,MOD(INT(D424)-1,Control!$B$7)+1)*IF(E424="BOOST",Control!$B$12,1)))</x:f>
        <x:v>2.5070225689126278</x:v>
      </x:c>
      <x:c r="G424" s="83" t="n">
        <x:f>IF(A424=0,D424,MIN(Control!$B$17,D424+F424))</x:f>
        <x:v>236.79760077638463</x:v>
      </x:c>
      <x:c r="H424" s="73" t="n">
        <x:f>MOD(INT(G424)-1,Control!$B$7)+1</x:f>
        <x:v>102</x:v>
      </x:c>
      <x:c r="I424" s="73" t="n">
        <x:f>MIN(Control!$B$6,MAX(1,INT(MAX(0,G424)/Control!$B$7)+1))</x:f>
        <x:v>2</x:v>
      </x:c>
      <x:c r="J424" s="73" t="n">
        <x:f>INDEX(Drivers!$H$8:$H$13,B424)</x:f>
        <x:v>1</x:v>
      </x:c>
      <x:c r="K424" s="73" t="n">
        <x:f>IF(J424=1,INDEX(TrackMap!$I$8:$I$141,H424),INDEX(TrackMap!$L$8:$L$141,H424))</x:f>
        <x:v>3149</x:v>
      </x:c>
      <x:c r="L424" s="73" t="str">
        <x:f>INDEX(TrackMap!$F$8:$F$141,H424)</x:f>
        <x:v>←</x:v>
      </x:c>
      <x:c r="M424" s="87" t="n">
        <x:f>MAX(0,G424/Control!$B$17)</x:f>
        <x:v>0.35342925489012633</x:v>
      </x:c>
      <x:c r="N424" s="73" t="n">
        <x:f>IF(N418&gt;0,N418,IF(G424&gt;=Control!$B$17,A424,0))</x:f>
        <x:v>0</x:v>
      </x:c>
      <x:c r="O424" s="91" t="n">
        <x:f>IF(N424&gt;0,Control!$B$17+Control!$B$8+1-N424,G424)-B424/100000</x:f>
        <x:v>236.79757077638462</x:v>
      </x:c>
      <x:c r="P424" s="73" t="n">
        <x:f>COUNTIF($O$422:$O$427,"&gt;"&amp;O424)+1</x:f>
        <x:v>2</x:v>
      </x:c>
      <x:c r="Q424" s="83" t="n">
        <x:f>MAX($G$422:$G$427)-G424</x:f>
        <x:v>4.505986565690307</x:v>
      </x:c>
      <x:c r="R424" s="73" t="str">
        <x:f>INDEX(TrackMap!$B$8:$B$141,H424)</x:f>
        <x:v>发车大直道</x:v>
      </x:c>
    </x:row>
    <x:row r="425" ht="20" customHeight="1">
      <x:c r="A425" s="73" t="n">
        <x:v>69</x:v>
      </x:c>
      <x:c r="B425" s="73" t="n">
        <x:v>4</x:v>
      </x:c>
      <x:c r="C425" s="73" t="str">
        <x:f>INDEX(Drivers!$B$8:$B$13,B425)</x:f>
        <x:v>紫影</x:v>
      </x:c>
      <x:c r="D425" s="83" t="n">
        <x:f>G419</x:f>
        <x:v>227.50348686980382</x:v>
      </x:c>
      <x:c r="E425" s="83" t="str">
        <x:f>IF(A425=0,"GRID",IF(D425&gt;=Control!$B$17,"FINISHED",IF(AND(A425&gt;=INDEX(Drivers!$G$8:$G$13,B425),A425&lt;INDEX(Drivers!$G$8:$G$13,B425)+INDEX(Drivers!$J$8:$J$13,B425)),"PIT",IF(MOD(A425+INDEX(Drivers!$F$8:$F$13,B425),Control!$B$11)&lt;Control!$B$13,"BOOST","RACE"))))</x:f>
        <x:v>BOOST</x:v>
      </x:c>
      <x:c r="F425" s="83" t="n">
        <x:f>IF(OR(E425="GRID",E425="FINISHED",E425="PIT"),0,MAX(Control!$B$15,(INDEX(Drivers!$D$8:$D$13,B425)+INDEX(Drivers!$E$8:$E$13,B425)*SIN((A425+INDEX(Drivers!$F$8:$F$13,B425)+Control!$B$16)*Control!$B$14))*INDEX(TrackMap!$M$8:$M$141,MOD(INT(D425)-1,Control!$B$7)+1)*IF(E425="BOOST",Control!$B$12,1)))</x:f>
        <x:v>5.411161956356103</x:v>
      </x:c>
      <x:c r="G425" s="83" t="n">
        <x:f>IF(A425=0,D425,MIN(Control!$B$17,D425+F425))</x:f>
        <x:v>232.91464882615992</x:v>
      </x:c>
      <x:c r="H425" s="73" t="n">
        <x:f>MOD(INT(G425)-1,Control!$B$7)+1</x:f>
        <x:v>98</x:v>
      </x:c>
      <x:c r="I425" s="73" t="n">
        <x:f>MIN(Control!$B$6,MAX(1,INT(MAX(0,G425)/Control!$B$7)+1))</x:f>
        <x:v>2</x:v>
      </x:c>
      <x:c r="J425" s="73" t="n">
        <x:f>INDEX(Drivers!$H$8:$H$13,B425)</x:f>
        <x:v>2</x:v>
      </x:c>
      <x:c r="K425" s="73" t="n">
        <x:f>IF(J425=1,INDEX(TrackMap!$I$8:$I$141,H425),INDEX(TrackMap!$L$8:$L$141,H425))</x:f>
        <x:v>2751</x:v>
      </x:c>
      <x:c r="L425" s="73" t="str">
        <x:f>INDEX(TrackMap!$F$8:$F$141,H425)</x:f>
        <x:v>↓</x:v>
      </x:c>
      <x:c r="M425" s="87" t="n">
        <x:f>MAX(0,G425/Control!$B$17)</x:f>
        <x:v>0.34763380421814916</x:v>
      </x:c>
      <x:c r="N425" s="73" t="n">
        <x:f>IF(N419&gt;0,N419,IF(G425&gt;=Control!$B$17,A425,0))</x:f>
        <x:v>0</x:v>
      </x:c>
      <x:c r="O425" s="91" t="n">
        <x:f>IF(N425&gt;0,Control!$B$17+Control!$B$8+1-N425,G425)-B425/100000</x:f>
        <x:v>232.9146088261599</x:v>
      </x:c>
      <x:c r="P425" s="73" t="n">
        <x:f>COUNTIF($O$422:$O$427,"&gt;"&amp;O425)+1</x:f>
        <x:v>5</x:v>
      </x:c>
      <x:c r="Q425" s="83" t="n">
        <x:f>MAX($G$422:$G$427)-G425</x:f>
        <x:v>8.388938515915015</x:v>
      </x:c>
      <x:c r="R425" s="73" t="str">
        <x:f>INDEX(TrackMap!$B$8:$B$141,H425)</x:f>
        <x:v>东侧长直道</x:v>
      </x:c>
    </x:row>
    <x:row r="426" ht="20" customHeight="1">
      <x:c r="A426" s="73" t="n">
        <x:v>69</x:v>
      </x:c>
      <x:c r="B426" s="73" t="n">
        <x:v>5</x:v>
      </x:c>
      <x:c r="C426" s="73" t="str">
        <x:f>INDEX(Drivers!$B$8:$B$13,B426)</x:f>
        <x:v>青锋</x:v>
      </x:c>
      <x:c r="D426" s="83" t="n">
        <x:f>G420</x:f>
        <x:v>227.86373314668276</x:v>
      </x:c>
      <x:c r="E426" s="83" t="str">
        <x:f>IF(A426=0,"GRID",IF(D426&gt;=Control!$B$17,"FINISHED",IF(AND(A426&gt;=INDEX(Drivers!$G$8:$G$13,B426),A426&lt;INDEX(Drivers!$G$8:$G$13,B426)+INDEX(Drivers!$J$8:$J$13,B426)),"PIT",IF(MOD(A426+INDEX(Drivers!$F$8:$F$13,B426),Control!$B$11)&lt;Control!$B$13,"BOOST","RACE"))))</x:f>
        <x:v>RACE</x:v>
      </x:c>
      <x:c r="F426" s="83" t="n">
        <x:f>IF(OR(E426="GRID",E426="FINISHED",E426="PIT"),0,MAX(Control!$B$15,(INDEX(Drivers!$D$8:$D$13,B426)+INDEX(Drivers!$E$8:$E$13,B426)*SIN((A426+INDEX(Drivers!$F$8:$F$13,B426)+Control!$B$16)*Control!$B$14))*INDEX(TrackMap!$M$8:$M$141,MOD(INT(D426)-1,Control!$B$7)+1)*IF(E426="BOOST",Control!$B$12,1)))</x:f>
        <x:v>3.9935079959497175</x:v>
      </x:c>
      <x:c r="G426" s="83" t="n">
        <x:f>IF(A426=0,D426,MIN(Control!$B$17,D426+F426))</x:f>
        <x:v>231.8572411426325</x:v>
      </x:c>
      <x:c r="H426" s="73" t="n">
        <x:f>MOD(INT(G426)-1,Control!$B$7)+1</x:f>
        <x:v>97</x:v>
      </x:c>
      <x:c r="I426" s="73" t="n">
        <x:f>MIN(Control!$B$6,MAX(1,INT(MAX(0,G426)/Control!$B$7)+1))</x:f>
        <x:v>2</x:v>
      </x:c>
      <x:c r="J426" s="73" t="n">
        <x:f>INDEX(Drivers!$H$8:$H$13,B426)</x:f>
        <x:v>1</x:v>
      </x:c>
      <x:c r="K426" s="73" t="n">
        <x:f>IF(J426=1,INDEX(TrackMap!$I$8:$I$141,H426),INDEX(TrackMap!$L$8:$L$141,H426))</x:f>
        <x:v>2652</x:v>
      </x:c>
      <x:c r="L426" s="73" t="str">
        <x:f>INDEX(TrackMap!$F$8:$F$141,H426)</x:f>
        <x:v>↓</x:v>
      </x:c>
      <x:c r="M426" s="87" t="n">
        <x:f>MAX(0,G426/Control!$B$17)</x:f>
        <x:v>0.34605558379497386</x:v>
      </x:c>
      <x:c r="N426" s="73" t="n">
        <x:f>IF(N420&gt;0,N420,IF(G426&gt;=Control!$B$17,A426,0))</x:f>
        <x:v>0</x:v>
      </x:c>
      <x:c r="O426" s="91" t="n">
        <x:f>IF(N426&gt;0,Control!$B$17+Control!$B$8+1-N426,G426)-B426/100000</x:f>
        <x:v>231.8571911426325</x:v>
      </x:c>
      <x:c r="P426" s="73" t="n">
        <x:f>COUNTIF($O$422:$O$427,"&gt;"&amp;O426)+1</x:f>
        <x:v>6</x:v>
      </x:c>
      <x:c r="Q426" s="83" t="n">
        <x:f>MAX($G$422:$G$427)-G426</x:f>
        <x:v>9.446346199442445</x:v>
      </x:c>
      <x:c r="R426" s="73" t="str">
        <x:f>INDEX(TrackMap!$B$8:$B$141,H426)</x:f>
        <x:v>东侧长直道</x:v>
      </x:c>
    </x:row>
    <x:row r="427" ht="20" customHeight="1">
      <x:c r="A427" s="73" t="n">
        <x:v>69</x:v>
      </x:c>
      <x:c r="B427" s="73" t="n">
        <x:v>6</x:v>
      </x:c>
      <x:c r="C427" s="73" t="str">
        <x:f>INDEX(Drivers!$B$8:$B$13,B427)</x:f>
        <x:v>玫速</x:v>
      </x:c>
      <x:c r="D427" s="83" t="n">
        <x:f>G421</x:f>
        <x:v>229.947315799788</x:v>
      </x:c>
      <x:c r="E427" s="83" t="str">
        <x:f>IF(A427=0,"GRID",IF(D427&gt;=Control!$B$17,"FINISHED",IF(AND(A427&gt;=INDEX(Drivers!$G$8:$G$13,B427),A427&lt;INDEX(Drivers!$G$8:$G$13,B427)+INDEX(Drivers!$J$8:$J$13,B427)),"PIT",IF(MOD(A427+INDEX(Drivers!$F$8:$F$13,B427),Control!$B$11)&lt;Control!$B$13,"BOOST","RACE"))))</x:f>
        <x:v>RACE</x:v>
      </x:c>
      <x:c r="F427" s="83" t="n">
        <x:f>IF(OR(E427="GRID",E427="FINISHED",E427="PIT"),0,MAX(Control!$B$15,(INDEX(Drivers!$D$8:$D$13,B427)+INDEX(Drivers!$E$8:$E$13,B427)*SIN((A427+INDEX(Drivers!$F$8:$F$13,B427)+Control!$B$16)*Control!$B$14))*INDEX(TrackMap!$M$8:$M$141,MOD(INT(D427)-1,Control!$B$7)+1)*IF(E427="BOOST",Control!$B$12,1)))</x:f>
        <x:v>3.547610020573625</x:v>
      </x:c>
      <x:c r="G427" s="83" t="n">
        <x:f>IF(A427=0,D427,MIN(Control!$B$17,D427+F427))</x:f>
        <x:v>233.4949258203616</x:v>
      </x:c>
      <x:c r="H427" s="73" t="n">
        <x:f>MOD(INT(G427)-1,Control!$B$7)+1</x:f>
        <x:v>99</x:v>
      </x:c>
      <x:c r="I427" s="73" t="n">
        <x:f>MIN(Control!$B$6,MAX(1,INT(MAX(0,G427)/Control!$B$7)+1))</x:f>
        <x:v>2</x:v>
      </x:c>
      <x:c r="J427" s="73" t="n">
        <x:f>INDEX(Drivers!$H$8:$H$13,B427)</x:f>
        <x:v>2</x:v>
      </x:c>
      <x:c r="K427" s="73" t="n">
        <x:f>IF(J427=1,INDEX(TrackMap!$I$8:$I$141,H427),INDEX(TrackMap!$L$8:$L$141,H427))</x:f>
        <x:v>2851</x:v>
      </x:c>
      <x:c r="L427" s="73" t="str">
        <x:f>INDEX(TrackMap!$F$8:$F$141,H427)</x:f>
        <x:v>↓</x:v>
      </x:c>
      <x:c r="M427" s="87" t="n">
        <x:f>MAX(0,G427/Control!$B$17)</x:f>
        <x:v>0.3484998892841218</x:v>
      </x:c>
      <x:c r="N427" s="73" t="n">
        <x:f>IF(N421&gt;0,N421,IF(G427&gt;=Control!$B$17,A427,0))</x:f>
        <x:v>0</x:v>
      </x:c>
      <x:c r="O427" s="91" t="n">
        <x:f>IF(N427&gt;0,Control!$B$17+Control!$B$8+1-N427,G427)-B427/100000</x:f>
        <x:v>233.4948658203616</x:v>
      </x:c>
      <x:c r="P427" s="73" t="n">
        <x:f>COUNTIF($O$422:$O$427,"&gt;"&amp;O427)+1</x:f>
        <x:v>4</x:v>
      </x:c>
      <x:c r="Q427" s="83" t="n">
        <x:f>MAX($G$422:$G$427)-G427</x:f>
        <x:v>7.808661521713333</x:v>
      </x:c>
      <x:c r="R427" s="73" t="str">
        <x:f>INDEX(TrackMap!$B$8:$B$141,H427)</x:f>
        <x:v>东侧长直道</x:v>
      </x:c>
    </x:row>
    <x:row r="428" ht="20" customHeight="1">
      <x:c r="A428" s="73" t="n">
        <x:v>70</x:v>
      </x:c>
      <x:c r="B428" s="73" t="n">
        <x:v>1</x:v>
      </x:c>
      <x:c r="C428" s="73" t="str">
        <x:f>INDEX(Drivers!$B$8:$B$13,B428)</x:f>
        <x:v>赤焰</x:v>
      </x:c>
      <x:c r="D428" s="83" t="n">
        <x:f>G422</x:f>
        <x:v>241.30358734207493</x:v>
      </x:c>
      <x:c r="E428" s="83" t="str">
        <x:f>IF(A428=0,"GRID",IF(D428&gt;=Control!$B$17,"FINISHED",IF(AND(A428&gt;=INDEX(Drivers!$G$8:$G$13,B428),A428&lt;INDEX(Drivers!$G$8:$G$13,B428)+INDEX(Drivers!$J$8:$J$13,B428)),"PIT",IF(MOD(A428+INDEX(Drivers!$F$8:$F$13,B428),Control!$B$11)&lt;Control!$B$13,"BOOST","RACE"))))</x:f>
        <x:v>RACE</x:v>
      </x:c>
      <x:c r="F428" s="83" t="n">
        <x:f>IF(OR(E428="GRID",E428="FINISHED",E428="PIT"),0,MAX(Control!$B$15,(INDEX(Drivers!$D$8:$D$13,B428)+INDEX(Drivers!$E$8:$E$13,B428)*SIN((A428+INDEX(Drivers!$F$8:$F$13,B428)+Control!$B$16)*Control!$B$14))*INDEX(TrackMap!$M$8:$M$141,MOD(INT(D428)-1,Control!$B$7)+1)*IF(E428="BOOST",Control!$B$12,1)))</x:f>
        <x:v>3.4686957677238346</x:v>
      </x:c>
      <x:c r="G428" s="83" t="n">
        <x:f>IF(A428=0,D428,MIN(Control!$B$17,D428+F428))</x:f>
        <x:v>244.77228310979876</x:v>
      </x:c>
      <x:c r="H428" s="73" t="n">
        <x:f>MOD(INT(G428)-1,Control!$B$7)+1</x:f>
        <x:v>110</x:v>
      </x:c>
      <x:c r="I428" s="73" t="n">
        <x:f>MIN(Control!$B$6,MAX(1,INT(MAX(0,G428)/Control!$B$7)+1))</x:f>
        <x:v>2</x:v>
      </x:c>
      <x:c r="J428" s="73" t="n">
        <x:f>INDEX(Drivers!$H$8:$H$13,B428)</x:f>
        <x:v>1</x:v>
      </x:c>
      <x:c r="K428" s="73" t="n">
        <x:f>IF(J428=1,INDEX(TrackMap!$I$8:$I$141,H428),INDEX(TrackMap!$L$8:$L$141,H428))</x:f>
        <x:v>3141</x:v>
      </x:c>
      <x:c r="L428" s="73" t="str">
        <x:f>INDEX(TrackMap!$F$8:$F$141,H428)</x:f>
        <x:v>←</x:v>
      </x:c>
      <x:c r="M428" s="87" t="n">
        <x:f>MAX(0,G428/Control!$B$17)</x:f>
        <x:v>0.3653317658355205</x:v>
      </x:c>
      <x:c r="N428" s="73" t="n">
        <x:f>IF(N422&gt;0,N422,IF(G428&gt;=Control!$B$17,A428,0))</x:f>
        <x:v>0</x:v>
      </x:c>
      <x:c r="O428" s="91" t="n">
        <x:f>IF(N428&gt;0,Control!$B$17+Control!$B$8+1-N428,G428)-B428/100000</x:f>
        <x:v>244.77227310979876</x:v>
      </x:c>
      <x:c r="P428" s="73" t="n">
        <x:f>COUNTIF($O$428:$O$433,"&gt;"&amp;O428)+1</x:f>
        <x:v>1</x:v>
      </x:c>
      <x:c r="Q428" s="83" t="n">
        <x:f>MAX($G$428:$G$433)-G428</x:f>
        <x:v>0</x:v>
      </x:c>
      <x:c r="R428" s="73" t="str">
        <x:f>INDEX(TrackMap!$B$8:$B$141,H428)</x:f>
        <x:v>发车大直道</x:v>
      </x:c>
    </x:row>
    <x:row r="429" ht="20" customHeight="1">
      <x:c r="A429" s="73" t="n">
        <x:v>70</x:v>
      </x:c>
      <x:c r="B429" s="73" t="n">
        <x:v>2</x:v>
      </x:c>
      <x:c r="C429" s="73" t="str">
        <x:f>INDEX(Drivers!$B$8:$B$13,B429)</x:f>
        <x:v>蓝电</x:v>
      </x:c>
      <x:c r="D429" s="83" t="n">
        <x:f>G423</x:f>
        <x:v>235.74702409081004</x:v>
      </x:c>
      <x:c r="E429" s="83" t="str">
        <x:f>IF(A429=0,"GRID",IF(D429&gt;=Control!$B$17,"FINISHED",IF(AND(A429&gt;=INDEX(Drivers!$G$8:$G$13,B429),A429&lt;INDEX(Drivers!$G$8:$G$13,B429)+INDEX(Drivers!$J$8:$J$13,B429)),"PIT",IF(MOD(A429+INDEX(Drivers!$F$8:$F$13,B429),Control!$B$11)&lt;Control!$B$13,"BOOST","RACE"))))</x:f>
        <x:v>RACE</x:v>
      </x:c>
      <x:c r="F429" s="83" t="n">
        <x:f>IF(OR(E429="GRID",E429="FINISHED",E429="PIT"),0,MAX(Control!$B$15,(INDEX(Drivers!$D$8:$D$13,B429)+INDEX(Drivers!$E$8:$E$13,B429)*SIN((A429+INDEX(Drivers!$F$8:$F$13,B429)+Control!$B$16)*Control!$B$14))*INDEX(TrackMap!$M$8:$M$141,MOD(INT(D429)-1,Control!$B$7)+1)*IF(E429="BOOST",Control!$B$12,1)))</x:f>
        <x:v>3.155337699981956</x:v>
      </x:c>
      <x:c r="G429" s="83" t="n">
        <x:f>IF(A429=0,D429,MIN(Control!$B$17,D429+F429))</x:f>
        <x:v>238.90236179079199</x:v>
      </x:c>
      <x:c r="H429" s="73" t="n">
        <x:f>MOD(INT(G429)-1,Control!$B$7)+1</x:f>
        <x:v>104</x:v>
      </x:c>
      <x:c r="I429" s="73" t="n">
        <x:f>MIN(Control!$B$6,MAX(1,INT(MAX(0,G429)/Control!$B$7)+1))</x:f>
        <x:v>2</x:v>
      </x:c>
      <x:c r="J429" s="73" t="n">
        <x:f>INDEX(Drivers!$H$8:$H$13,B429)</x:f>
        <x:v>2</x:v>
      </x:c>
      <x:c r="K429" s="73" t="n">
        <x:f>IF(J429=1,INDEX(TrackMap!$I$8:$I$141,H429),INDEX(TrackMap!$L$8:$L$141,H429))</x:f>
        <x:v>3047</x:v>
      </x:c>
      <x:c r="L429" s="73" t="str">
        <x:f>INDEX(TrackMap!$F$8:$F$141,H429)</x:f>
        <x:v>←</x:v>
      </x:c>
      <x:c r="M429" s="87" t="n">
        <x:f>MAX(0,G429/Control!$B$17)</x:f>
        <x:v>0.356570689239988</x:v>
      </x:c>
      <x:c r="N429" s="73" t="n">
        <x:f>IF(N423&gt;0,N423,IF(G429&gt;=Control!$B$17,A429,0))</x:f>
        <x:v>0</x:v>
      </x:c>
      <x:c r="O429" s="91" t="n">
        <x:f>IF(N429&gt;0,Control!$B$17+Control!$B$8+1-N429,G429)-B429/100000</x:f>
        <x:v>238.90234179079198</x:v>
      </x:c>
      <x:c r="P429" s="73" t="n">
        <x:f>COUNTIF($O$428:$O$433,"&gt;"&amp;O429)+1</x:f>
        <x:v>3</x:v>
      </x:c>
      <x:c r="Q429" s="83" t="n">
        <x:f>MAX($G$428:$G$433)-G429</x:f>
        <x:v>5.869921319006778</x:v>
      </x:c>
      <x:c r="R429" s="73" t="str">
        <x:f>INDEX(TrackMap!$B$8:$B$141,H429)</x:f>
        <x:v>发车大直道</x:v>
      </x:c>
    </x:row>
    <x:row r="430" ht="20" customHeight="1">
      <x:c r="A430" s="73" t="n">
        <x:v>70</x:v>
      </x:c>
      <x:c r="B430" s="73" t="n">
        <x:v>3</x:v>
      </x:c>
      <x:c r="C430" s="73" t="str">
        <x:f>INDEX(Drivers!$B$8:$B$13,B430)</x:f>
        <x:v>金翼</x:v>
      </x:c>
      <x:c r="D430" s="83" t="n">
        <x:f>G424</x:f>
        <x:v>236.79760077638463</x:v>
      </x:c>
      <x:c r="E430" s="83" t="str">
        <x:f>IF(A430=0,"GRID",IF(D430&gt;=Control!$B$17,"FINISHED",IF(AND(A430&gt;=INDEX(Drivers!$G$8:$G$13,B430),A430&lt;INDEX(Drivers!$G$8:$G$13,B430)+INDEX(Drivers!$J$8:$J$13,B430)),"PIT",IF(MOD(A430+INDEX(Drivers!$F$8:$F$13,B430),Control!$B$11)&lt;Control!$B$13,"BOOST","RACE"))))</x:f>
        <x:v>RACE</x:v>
      </x:c>
      <x:c r="F430" s="83" t="n">
        <x:f>IF(OR(E430="GRID",E430="FINISHED",E430="PIT"),0,MAX(Control!$B$15,(INDEX(Drivers!$D$8:$D$13,B430)+INDEX(Drivers!$E$8:$E$13,B430)*SIN((A430+INDEX(Drivers!$F$8:$F$13,B430)+Control!$B$16)*Control!$B$14))*INDEX(TrackMap!$M$8:$M$141,MOD(INT(D430)-1,Control!$B$7)+1)*IF(E430="BOOST",Control!$B$12,1)))</x:f>
        <x:v>2.4993765730265536</x:v>
      </x:c>
      <x:c r="G430" s="83" t="n">
        <x:f>IF(A430=0,D430,MIN(Control!$B$17,D430+F430))</x:f>
        <x:v>239.29697734941118</x:v>
      </x:c>
      <x:c r="H430" s="73" t="n">
        <x:f>MOD(INT(G430)-1,Control!$B$7)+1</x:f>
        <x:v>105</x:v>
      </x:c>
      <x:c r="I430" s="73" t="n">
        <x:f>MIN(Control!$B$6,MAX(1,INT(MAX(0,G430)/Control!$B$7)+1))</x:f>
        <x:v>2</x:v>
      </x:c>
      <x:c r="J430" s="73" t="n">
        <x:f>INDEX(Drivers!$H$8:$H$13,B430)</x:f>
        <x:v>1</x:v>
      </x:c>
      <x:c r="K430" s="73" t="n">
        <x:f>IF(J430=1,INDEX(TrackMap!$I$8:$I$141,H430),INDEX(TrackMap!$L$8:$L$141,H430))</x:f>
        <x:v>3146</x:v>
      </x:c>
      <x:c r="L430" s="73" t="str">
        <x:f>INDEX(TrackMap!$F$8:$F$141,H430)</x:f>
        <x:v>←</x:v>
      </x:c>
      <x:c r="M430" s="87" t="n">
        <x:f>MAX(0,G430/Control!$B$17)</x:f>
        <x:v>0.35715966768568835</x:v>
      </x:c>
      <x:c r="N430" s="73" t="n">
        <x:f>IF(N424&gt;0,N424,IF(G430&gt;=Control!$B$17,A430,0))</x:f>
        <x:v>0</x:v>
      </x:c>
      <x:c r="O430" s="91" t="n">
        <x:f>IF(N430&gt;0,Control!$B$17+Control!$B$8+1-N430,G430)-B430/100000</x:f>
        <x:v>239.29694734941117</x:v>
      </x:c>
      <x:c r="P430" s="73" t="n">
        <x:f>COUNTIF($O$428:$O$433,"&gt;"&amp;O430)+1</x:f>
        <x:v>2</x:v>
      </x:c>
      <x:c r="Q430" s="83" t="n">
        <x:f>MAX($G$428:$G$433)-G430</x:f>
        <x:v>5.4753057603875845</x:v>
      </x:c>
      <x:c r="R430" s="73" t="str">
        <x:f>INDEX(TrackMap!$B$8:$B$141,H430)</x:f>
        <x:v>发车大直道</x:v>
      </x:c>
    </x:row>
    <x:row r="431" ht="20" customHeight="1">
      <x:c r="A431" s="73" t="n">
        <x:v>70</x:v>
      </x:c>
      <x:c r="B431" s="73" t="n">
        <x:v>4</x:v>
      </x:c>
      <x:c r="C431" s="73" t="str">
        <x:f>INDEX(Drivers!$B$8:$B$13,B431)</x:f>
        <x:v>紫影</x:v>
      </x:c>
      <x:c r="D431" s="83" t="n">
        <x:f>G425</x:f>
        <x:v>232.91464882615992</x:v>
      </x:c>
      <x:c r="E431" s="83" t="str">
        <x:f>IF(A431=0,"GRID",IF(D431&gt;=Control!$B$17,"FINISHED",IF(AND(A431&gt;=INDEX(Drivers!$G$8:$G$13,B431),A431&lt;INDEX(Drivers!$G$8:$G$13,B431)+INDEX(Drivers!$J$8:$J$13,B431)),"PIT",IF(MOD(A431+INDEX(Drivers!$F$8:$F$13,B431),Control!$B$11)&lt;Control!$B$13,"BOOST","RACE"))))</x:f>
        <x:v>BOOST</x:v>
      </x:c>
      <x:c r="F431" s="83" t="n">
        <x:f>IF(OR(E431="GRID",E431="FINISHED",E431="PIT"),0,MAX(Control!$B$15,(INDEX(Drivers!$D$8:$D$13,B431)+INDEX(Drivers!$E$8:$E$13,B431)*SIN((A431+INDEX(Drivers!$F$8:$F$13,B431)+Control!$B$16)*Control!$B$14))*INDEX(TrackMap!$M$8:$M$141,MOD(INT(D431)-1,Control!$B$7)+1)*IF(E431="BOOST",Control!$B$12,1)))</x:f>
        <x:v>5.574977956445736</x:v>
      </x:c>
      <x:c r="G431" s="83" t="n">
        <x:f>IF(A431=0,D431,MIN(Control!$B$17,D431+F431))</x:f>
        <x:v>238.48962678260565</x:v>
      </x:c>
      <x:c r="H431" s="73" t="n">
        <x:f>MOD(INT(G431)-1,Control!$B$7)+1</x:f>
        <x:v>104</x:v>
      </x:c>
      <x:c r="I431" s="73" t="n">
        <x:f>MIN(Control!$B$6,MAX(1,INT(MAX(0,G431)/Control!$B$7)+1))</x:f>
        <x:v>2</x:v>
      </x:c>
      <x:c r="J431" s="73" t="n">
        <x:f>INDEX(Drivers!$H$8:$H$13,B431)</x:f>
        <x:v>2</x:v>
      </x:c>
      <x:c r="K431" s="73" t="n">
        <x:f>IF(J431=1,INDEX(TrackMap!$I$8:$I$141,H431),INDEX(TrackMap!$L$8:$L$141,H431))</x:f>
        <x:v>3047</x:v>
      </x:c>
      <x:c r="L431" s="73" t="str">
        <x:f>INDEX(TrackMap!$F$8:$F$141,H431)</x:f>
        <x:v>←</x:v>
      </x:c>
      <x:c r="M431" s="87" t="n">
        <x:f>MAX(0,G431/Control!$B$17)</x:f>
        <x:v>0.35595466683970994</x:v>
      </x:c>
      <x:c r="N431" s="73" t="n">
        <x:f>IF(N425&gt;0,N425,IF(G431&gt;=Control!$B$17,A431,0))</x:f>
        <x:v>0</x:v>
      </x:c>
      <x:c r="O431" s="91" t="n">
        <x:f>IF(N431&gt;0,Control!$B$17+Control!$B$8+1-N431,G431)-B431/100000</x:f>
        <x:v>238.48958678260564</x:v>
      </x:c>
      <x:c r="P431" s="73" t="n">
        <x:f>COUNTIF($O$428:$O$433,"&gt;"&amp;O431)+1</x:f>
        <x:v>4</x:v>
      </x:c>
      <x:c r="Q431" s="83" t="n">
        <x:f>MAX($G$428:$G$433)-G431</x:f>
        <x:v>6.282656327193109</x:v>
      </x:c>
      <x:c r="R431" s="73" t="str">
        <x:f>INDEX(TrackMap!$B$8:$B$141,H431)</x:f>
        <x:v>发车大直道</x:v>
      </x:c>
    </x:row>
    <x:row r="432" ht="20" customHeight="1">
      <x:c r="A432" s="73" t="n">
        <x:v>70</x:v>
      </x:c>
      <x:c r="B432" s="73" t="n">
        <x:v>5</x:v>
      </x:c>
      <x:c r="C432" s="73" t="str">
        <x:f>INDEX(Drivers!$B$8:$B$13,B432)</x:f>
        <x:v>青锋</x:v>
      </x:c>
      <x:c r="D432" s="83" t="n">
        <x:f>G426</x:f>
        <x:v>231.8572411426325</x:v>
      </x:c>
      <x:c r="E432" s="83" t="str">
        <x:f>IF(A432=0,"GRID",IF(D432&gt;=Control!$B$17,"FINISHED",IF(AND(A432&gt;=INDEX(Drivers!$G$8:$G$13,B432),A432&lt;INDEX(Drivers!$G$8:$G$13,B432)+INDEX(Drivers!$J$8:$J$13,B432)),"PIT",IF(MOD(A432+INDEX(Drivers!$F$8:$F$13,B432),Control!$B$11)&lt;Control!$B$13,"BOOST","RACE"))))</x:f>
        <x:v>RACE</x:v>
      </x:c>
      <x:c r="F432" s="83" t="n">
        <x:f>IF(OR(E432="GRID",E432="FINISHED",E432="PIT"),0,MAX(Control!$B$15,(INDEX(Drivers!$D$8:$D$13,B432)+INDEX(Drivers!$E$8:$E$13,B432)*SIN((A432+INDEX(Drivers!$F$8:$F$13,B432)+Control!$B$16)*Control!$B$14))*INDEX(TrackMap!$M$8:$M$141,MOD(INT(D432)-1,Control!$B$7)+1)*IF(E432="BOOST",Control!$B$12,1)))</x:f>
        <x:v>4.1033700447400205</x:v>
      </x:c>
      <x:c r="G432" s="83" t="n">
        <x:f>IF(A432=0,D432,MIN(Control!$B$17,D432+F432))</x:f>
        <x:v>235.9606111873725</x:v>
      </x:c>
      <x:c r="H432" s="73" t="n">
        <x:f>MOD(INT(G432)-1,Control!$B$7)+1</x:f>
        <x:v>101</x:v>
      </x:c>
      <x:c r="I432" s="73" t="n">
        <x:f>MIN(Control!$B$6,MAX(1,INT(MAX(0,G432)/Control!$B$7)+1))</x:f>
        <x:v>2</x:v>
      </x:c>
      <x:c r="J432" s="73" t="n">
        <x:f>INDEX(Drivers!$H$8:$H$13,B432)</x:f>
        <x:v>1</x:v>
      </x:c>
      <x:c r="K432" s="73" t="n">
        <x:f>IF(J432=1,INDEX(TrackMap!$I$8:$I$141,H432),INDEX(TrackMap!$L$8:$L$141,H432))</x:f>
        <x:v>3150</x:v>
      </x:c>
      <x:c r="L432" s="73" t="str">
        <x:f>INDEX(TrackMap!$F$8:$F$141,H432)</x:f>
        <x:v>←</x:v>
      </x:c>
      <x:c r="M432" s="87" t="n">
        <x:f>MAX(0,G432/Control!$B$17)</x:f>
        <x:v>0.35218001669757093</x:v>
      </x:c>
      <x:c r="N432" s="73" t="n">
        <x:f>IF(N426&gt;0,N426,IF(G432&gt;=Control!$B$17,A432,0))</x:f>
        <x:v>0</x:v>
      </x:c>
      <x:c r="O432" s="91" t="n">
        <x:f>IF(N432&gt;0,Control!$B$17+Control!$B$8+1-N432,G432)-B432/100000</x:f>
        <x:v>235.96056118737252</x:v>
      </x:c>
      <x:c r="P432" s="73" t="n">
        <x:f>COUNTIF($O$428:$O$433,"&gt;"&amp;O432)+1</x:f>
        <x:v>6</x:v>
      </x:c>
      <x:c r="Q432" s="83" t="n">
        <x:f>MAX($G$428:$G$433)-G432</x:f>
        <x:v>8.811671922426257</x:v>
      </x:c>
      <x:c r="R432" s="73" t="str">
        <x:f>INDEX(TrackMap!$B$8:$B$141,H432)</x:f>
        <x:v>发车大直道</x:v>
      </x:c>
    </x:row>
    <x:row r="433" ht="20" customHeight="1">
      <x:c r="A433" s="73" t="n">
        <x:v>70</x:v>
      </x:c>
      <x:c r="B433" s="73" t="n">
        <x:v>6</x:v>
      </x:c>
      <x:c r="C433" s="73" t="str">
        <x:f>INDEX(Drivers!$B$8:$B$13,B433)</x:f>
        <x:v>玫速</x:v>
      </x:c>
      <x:c r="D433" s="83" t="n">
        <x:f>G427</x:f>
        <x:v>233.4949258203616</x:v>
      </x:c>
      <x:c r="E433" s="83" t="str">
        <x:f>IF(A433=0,"GRID",IF(D433&gt;=Control!$B$17,"FINISHED",IF(AND(A433&gt;=INDEX(Drivers!$G$8:$G$13,B433),A433&lt;INDEX(Drivers!$G$8:$G$13,B433)+INDEX(Drivers!$J$8:$J$13,B433)),"PIT",IF(MOD(A433+INDEX(Drivers!$F$8:$F$13,B433),Control!$B$11)&lt;Control!$B$13,"BOOST","RACE"))))</x:f>
        <x:v>RACE</x:v>
      </x:c>
      <x:c r="F433" s="83" t="n">
        <x:f>IF(OR(E433="GRID",E433="FINISHED",E433="PIT"),0,MAX(Control!$B$15,(INDEX(Drivers!$D$8:$D$13,B433)+INDEX(Drivers!$E$8:$E$13,B433)*SIN((A433+INDEX(Drivers!$F$8:$F$13,B433)+Control!$B$16)*Control!$B$14))*INDEX(TrackMap!$M$8:$M$141,MOD(INT(D433)-1,Control!$B$7)+1)*IF(E433="BOOST",Control!$B$12,1)))</x:f>
        <x:v>3.344947570921362</x:v>
      </x:c>
      <x:c r="G433" s="83" t="n">
        <x:f>IF(A433=0,D433,MIN(Control!$B$17,D433+F433))</x:f>
        <x:v>236.83987339128296</x:v>
      </x:c>
      <x:c r="H433" s="73" t="n">
        <x:f>MOD(INT(G433)-1,Control!$B$7)+1</x:f>
        <x:v>102</x:v>
      </x:c>
      <x:c r="I433" s="73" t="n">
        <x:f>MIN(Control!$B$6,MAX(1,INT(MAX(0,G433)/Control!$B$7)+1))</x:f>
        <x:v>2</x:v>
      </x:c>
      <x:c r="J433" s="73" t="n">
        <x:f>INDEX(Drivers!$H$8:$H$13,B433)</x:f>
        <x:v>2</x:v>
      </x:c>
      <x:c r="K433" s="73" t="n">
        <x:f>IF(J433=1,INDEX(TrackMap!$I$8:$I$141,H433),INDEX(TrackMap!$L$8:$L$141,H433))</x:f>
        <x:v>3049</x:v>
      </x:c>
      <x:c r="L433" s="73" t="str">
        <x:f>INDEX(TrackMap!$F$8:$F$141,H433)</x:f>
        <x:v>←</x:v>
      </x:c>
      <x:c r="M433" s="87" t="n">
        <x:f>MAX(0,G433/Control!$B$17)</x:f>
        <x:v>0.35349234834519844</x:v>
      </x:c>
      <x:c r="N433" s="73" t="n">
        <x:f>IF(N427&gt;0,N427,IF(G433&gt;=Control!$B$17,A433,0))</x:f>
        <x:v>0</x:v>
      </x:c>
      <x:c r="O433" s="91" t="n">
        <x:f>IF(N433&gt;0,Control!$B$17+Control!$B$8+1-N433,G433)-B433/100000</x:f>
        <x:v>236.83981339128297</x:v>
      </x:c>
      <x:c r="P433" s="73" t="n">
        <x:f>COUNTIF($O$428:$O$433,"&gt;"&amp;O433)+1</x:f>
        <x:v>5</x:v>
      </x:c>
      <x:c r="Q433" s="83" t="n">
        <x:f>MAX($G$428:$G$433)-G433</x:f>
        <x:v>7.9324097185158</x:v>
      </x:c>
      <x:c r="R433" s="73" t="str">
        <x:f>INDEX(TrackMap!$B$8:$B$141,H433)</x:f>
        <x:v>发车大直道</x:v>
      </x:c>
    </x:row>
    <x:row r="434" ht="20" customHeight="1">
      <x:c r="A434" s="73" t="n">
        <x:v>71</x:v>
      </x:c>
      <x:c r="B434" s="73" t="n">
        <x:v>1</x:v>
      </x:c>
      <x:c r="C434" s="73" t="str">
        <x:f>INDEX(Drivers!$B$8:$B$13,B434)</x:f>
        <x:v>赤焰</x:v>
      </x:c>
      <x:c r="D434" s="83" t="n">
        <x:f>G428</x:f>
        <x:v>244.77228310979876</x:v>
      </x:c>
      <x:c r="E434" s="83" t="str">
        <x:f>IF(A434=0,"GRID",IF(D434&gt;=Control!$B$17,"FINISHED",IF(AND(A434&gt;=INDEX(Drivers!$G$8:$G$13,B434),A434&lt;INDEX(Drivers!$G$8:$G$13,B434)+INDEX(Drivers!$J$8:$J$13,B434)),"PIT",IF(MOD(A434+INDEX(Drivers!$F$8:$F$13,B434),Control!$B$11)&lt;Control!$B$13,"BOOST","RACE"))))</x:f>
        <x:v>RACE</x:v>
      </x:c>
      <x:c r="F434" s="83" t="n">
        <x:f>IF(OR(E434="GRID",E434="FINISHED",E434="PIT"),0,MAX(Control!$B$15,(INDEX(Drivers!$D$8:$D$13,B434)+INDEX(Drivers!$E$8:$E$13,B434)*SIN((A434+INDEX(Drivers!$F$8:$F$13,B434)+Control!$B$16)*Control!$B$14))*INDEX(TrackMap!$M$8:$M$141,MOD(INT(D434)-1,Control!$B$7)+1)*IF(E434="BOOST",Control!$B$12,1)))</x:f>
        <x:v>3.668736779195233</x:v>
      </x:c>
      <x:c r="G434" s="83" t="n">
        <x:f>IF(A434=0,D434,MIN(Control!$B$17,D434+F434))</x:f>
        <x:v>248.441019888994</x:v>
      </x:c>
      <x:c r="H434" s="73" t="n">
        <x:f>MOD(INT(G434)-1,Control!$B$7)+1</x:f>
        <x:v>114</x:v>
      </x:c>
      <x:c r="I434" s="73" t="n">
        <x:f>MIN(Control!$B$6,MAX(1,INT(MAX(0,G434)/Control!$B$7)+1))</x:f>
        <x:v>2</x:v>
      </x:c>
      <x:c r="J434" s="73" t="n">
        <x:f>INDEX(Drivers!$H$8:$H$13,B434)</x:f>
        <x:v>1</x:v>
      </x:c>
      <x:c r="K434" s="73" t="n">
        <x:f>IF(J434=1,INDEX(TrackMap!$I$8:$I$141,H434),INDEX(TrackMap!$L$8:$L$141,H434))</x:f>
        <x:v>3137</x:v>
      </x:c>
      <x:c r="L434" s="73" t="str">
        <x:f>INDEX(TrackMap!$F$8:$F$141,H434)</x:f>
        <x:v>←</x:v>
      </x:c>
      <x:c r="M434" s="87" t="n">
        <x:f>MAX(0,G434/Control!$B$17)</x:f>
        <x:v>0.3708074923716328</x:v>
      </x:c>
      <x:c r="N434" s="73" t="n">
        <x:f>IF(N428&gt;0,N428,IF(G434&gt;=Control!$B$17,A434,0))</x:f>
        <x:v>0</x:v>
      </x:c>
      <x:c r="O434" s="91" t="n">
        <x:f>IF(N434&gt;0,Control!$B$17+Control!$B$8+1-N434,G434)-B434/100000</x:f>
        <x:v>248.441009888994</x:v>
      </x:c>
      <x:c r="P434" s="73" t="n">
        <x:f>COUNTIF($O$434:$O$439,"&gt;"&amp;O434)+1</x:f>
        <x:v>1</x:v>
      </x:c>
      <x:c r="Q434" s="83" t="n">
        <x:f>MAX($G$434:$G$439)-G434</x:f>
        <x:v>0</x:v>
      </x:c>
      <x:c r="R434" s="73" t="str">
        <x:f>INDEX(TrackMap!$B$8:$B$141,H434)</x:f>
        <x:v>发车大直道</x:v>
      </x:c>
    </x:row>
    <x:row r="435" ht="20" customHeight="1">
      <x:c r="A435" s="73" t="n">
        <x:v>71</x:v>
      </x:c>
      <x:c r="B435" s="73" t="n">
        <x:v>2</x:v>
      </x:c>
      <x:c r="C435" s="73" t="str">
        <x:f>INDEX(Drivers!$B$8:$B$13,B435)</x:f>
        <x:v>蓝电</x:v>
      </x:c>
      <x:c r="D435" s="83" t="n">
        <x:f>G429</x:f>
        <x:v>238.90236179079199</x:v>
      </x:c>
      <x:c r="E435" s="83" t="str">
        <x:f>IF(A435=0,"GRID",IF(D435&gt;=Control!$B$17,"FINISHED",IF(AND(A435&gt;=INDEX(Drivers!$G$8:$G$13,B435),A435&lt;INDEX(Drivers!$G$8:$G$13,B435)+INDEX(Drivers!$J$8:$J$13,B435)),"PIT",IF(MOD(A435+INDEX(Drivers!$F$8:$F$13,B435),Control!$B$11)&lt;Control!$B$13,"BOOST","RACE"))))</x:f>
        <x:v>RACE</x:v>
      </x:c>
      <x:c r="F435" s="83" t="n">
        <x:f>IF(OR(E435="GRID",E435="FINISHED",E435="PIT"),0,MAX(Control!$B$15,(INDEX(Drivers!$D$8:$D$13,B435)+INDEX(Drivers!$E$8:$E$13,B435)*SIN((A435+INDEX(Drivers!$F$8:$F$13,B435)+Control!$B$16)*Control!$B$14))*INDEX(TrackMap!$M$8:$M$141,MOD(INT(D435)-1,Control!$B$7)+1)*IF(E435="BOOST",Control!$B$12,1)))</x:f>
        <x:v>3.87683542966264</x:v>
      </x:c>
      <x:c r="G435" s="83" t="n">
        <x:f>IF(A435=0,D435,MIN(Control!$B$17,D435+F435))</x:f>
        <x:v>242.77919722045462</x:v>
      </x:c>
      <x:c r="H435" s="73" t="n">
        <x:f>MOD(INT(G435)-1,Control!$B$7)+1</x:f>
        <x:v>108</x:v>
      </x:c>
      <x:c r="I435" s="73" t="n">
        <x:f>MIN(Control!$B$6,MAX(1,INT(MAX(0,G435)/Control!$B$7)+1))</x:f>
        <x:v>2</x:v>
      </x:c>
      <x:c r="J435" s="73" t="n">
        <x:f>INDEX(Drivers!$H$8:$H$13,B435)</x:f>
        <x:v>2</x:v>
      </x:c>
      <x:c r="K435" s="73" t="n">
        <x:f>IF(J435=1,INDEX(TrackMap!$I$8:$I$141,H435),INDEX(TrackMap!$L$8:$L$141,H435))</x:f>
        <x:v>3043</x:v>
      </x:c>
      <x:c r="L435" s="73" t="str">
        <x:f>INDEX(TrackMap!$F$8:$F$141,H435)</x:f>
        <x:v>←</x:v>
      </x:c>
      <x:c r="M435" s="87" t="n">
        <x:f>MAX(0,G435/Control!$B$17)</x:f>
        <x:v>0.36235701077679794</x:v>
      </x:c>
      <x:c r="N435" s="73" t="n">
        <x:f>IF(N429&gt;0,N429,IF(G435&gt;=Control!$B$17,A435,0))</x:f>
        <x:v>0</x:v>
      </x:c>
      <x:c r="O435" s="91" t="n">
        <x:f>IF(N435&gt;0,Control!$B$17+Control!$B$8+1-N435,G435)-B435/100000</x:f>
        <x:v>242.7791772204546</x:v>
      </x:c>
      <x:c r="P435" s="73" t="n">
        <x:f>COUNTIF($O$434:$O$439,"&gt;"&amp;O435)+1</x:f>
        <x:v>3</x:v>
      </x:c>
      <x:c r="Q435" s="83" t="n">
        <x:f>MAX($G$434:$G$439)-G435</x:f>
        <x:v>5.661822668539372</x:v>
      </x:c>
      <x:c r="R435" s="73" t="str">
        <x:f>INDEX(TrackMap!$B$8:$B$141,H435)</x:f>
        <x:v>发车大直道</x:v>
      </x:c>
    </x:row>
    <x:row r="436" ht="20" customHeight="1">
      <x:c r="A436" s="73" t="n">
        <x:v>71</x:v>
      </x:c>
      <x:c r="B436" s="73" t="n">
        <x:v>3</x:v>
      </x:c>
      <x:c r="C436" s="73" t="str">
        <x:f>INDEX(Drivers!$B$8:$B$13,B436)</x:f>
        <x:v>金翼</x:v>
      </x:c>
      <x:c r="D436" s="83" t="n">
        <x:f>G430</x:f>
        <x:v>239.29697734941118</x:v>
      </x:c>
      <x:c r="E436" s="83" t="str">
        <x:f>IF(A436=0,"GRID",IF(D436&gt;=Control!$B$17,"FINISHED",IF(AND(A436&gt;=INDEX(Drivers!$G$8:$G$13,B436),A436&lt;INDEX(Drivers!$G$8:$G$13,B436)+INDEX(Drivers!$J$8:$J$13,B436)),"PIT",IF(MOD(A436+INDEX(Drivers!$F$8:$F$13,B436),Control!$B$11)&lt;Control!$B$13,"BOOST","RACE"))))</x:f>
        <x:v>RACE</x:v>
      </x:c>
      <x:c r="F436" s="83" t="n">
        <x:f>IF(OR(E436="GRID",E436="FINISHED",E436="PIT"),0,MAX(Control!$B$15,(INDEX(Drivers!$D$8:$D$13,B436)+INDEX(Drivers!$E$8:$E$13,B436)*SIN((A436+INDEX(Drivers!$F$8:$F$13,B436)+Control!$B$16)*Control!$B$14))*INDEX(TrackMap!$M$8:$M$141,MOD(INT(D436)-1,Control!$B$7)+1)*IF(E436="BOOST",Control!$B$12,1)))</x:f>
        <x:v>3.2616131336523706</x:v>
      </x:c>
      <x:c r="G436" s="83" t="n">
        <x:f>IF(A436=0,D436,MIN(Control!$B$17,D436+F436))</x:f>
        <x:v>242.55859048306354</x:v>
      </x:c>
      <x:c r="H436" s="73" t="n">
        <x:f>MOD(INT(G436)-1,Control!$B$7)+1</x:f>
        <x:v>108</x:v>
      </x:c>
      <x:c r="I436" s="73" t="n">
        <x:f>MIN(Control!$B$6,MAX(1,INT(MAX(0,G436)/Control!$B$7)+1))</x:f>
        <x:v>2</x:v>
      </x:c>
      <x:c r="J436" s="73" t="n">
        <x:f>INDEX(Drivers!$H$8:$H$13,B436)</x:f>
        <x:v>1</x:v>
      </x:c>
      <x:c r="K436" s="73" t="n">
        <x:f>IF(J436=1,INDEX(TrackMap!$I$8:$I$141,H436),INDEX(TrackMap!$L$8:$L$141,H436))</x:f>
        <x:v>3143</x:v>
      </x:c>
      <x:c r="L436" s="73" t="str">
        <x:f>INDEX(TrackMap!$F$8:$F$141,H436)</x:f>
        <x:v>←</x:v>
      </x:c>
      <x:c r="M436" s="87" t="n">
        <x:f>MAX(0,G436/Control!$B$17)</x:f>
        <x:v>0.36202774698964707</x:v>
      </x:c>
      <x:c r="N436" s="73" t="n">
        <x:f>IF(N430&gt;0,N430,IF(G436&gt;=Control!$B$17,A436,0))</x:f>
        <x:v>0</x:v>
      </x:c>
      <x:c r="O436" s="91" t="n">
        <x:f>IF(N436&gt;0,Control!$B$17+Control!$B$8+1-N436,G436)-B436/100000</x:f>
        <x:v>242.55856048306353</x:v>
      </x:c>
      <x:c r="P436" s="73" t="n">
        <x:f>COUNTIF($O$434:$O$439,"&gt;"&amp;O436)+1</x:f>
        <x:v>4</x:v>
      </x:c>
      <x:c r="Q436" s="83" t="n">
        <x:f>MAX($G$434:$G$439)-G436</x:f>
        <x:v>5.882429405930452</x:v>
      </x:c>
      <x:c r="R436" s="73" t="str">
        <x:f>INDEX(TrackMap!$B$8:$B$141,H436)</x:f>
        <x:v>发车大直道</x:v>
      </x:c>
    </x:row>
    <x:row r="437" ht="20" customHeight="1">
      <x:c r="A437" s="73" t="n">
        <x:v>71</x:v>
      </x:c>
      <x:c r="B437" s="73" t="n">
        <x:v>4</x:v>
      </x:c>
      <x:c r="C437" s="73" t="str">
        <x:f>INDEX(Drivers!$B$8:$B$13,B437)</x:f>
        <x:v>紫影</x:v>
      </x:c>
      <x:c r="D437" s="83" t="n">
        <x:f>G431</x:f>
        <x:v>238.48962678260565</x:v>
      </x:c>
      <x:c r="E437" s="83" t="str">
        <x:f>IF(A437=0,"GRID",IF(D437&gt;=Control!$B$17,"FINISHED",IF(AND(A437&gt;=INDEX(Drivers!$G$8:$G$13,B437),A437&lt;INDEX(Drivers!$G$8:$G$13,B437)+INDEX(Drivers!$J$8:$J$13,B437)),"PIT",IF(MOD(A437+INDEX(Drivers!$F$8:$F$13,B437),Control!$B$11)&lt;Control!$B$13,"BOOST","RACE"))))</x:f>
        <x:v>BOOST</x:v>
      </x:c>
      <x:c r="F437" s="83" t="n">
        <x:f>IF(OR(E437="GRID",E437="FINISHED",E437="PIT"),0,MAX(Control!$B$15,(INDEX(Drivers!$D$8:$D$13,B437)+INDEX(Drivers!$E$8:$E$13,B437)*SIN((A437+INDEX(Drivers!$F$8:$F$13,B437)+Control!$B$16)*Control!$B$14))*INDEX(TrackMap!$M$8:$M$141,MOD(INT(D437)-1,Control!$B$7)+1)*IF(E437="BOOST",Control!$B$12,1)))</x:f>
        <x:v>5.6420250442436535</x:v>
      </x:c>
      <x:c r="G437" s="83" t="n">
        <x:f>IF(A437=0,D437,MIN(Control!$B$17,D437+F437))</x:f>
        <x:v>244.13165182684932</x:v>
      </x:c>
      <x:c r="H437" s="73" t="n">
        <x:f>MOD(INT(G437)-1,Control!$B$7)+1</x:f>
        <x:v>110</x:v>
      </x:c>
      <x:c r="I437" s="73" t="n">
        <x:f>MIN(Control!$B$6,MAX(1,INT(MAX(0,G437)/Control!$B$7)+1))</x:f>
        <x:v>2</x:v>
      </x:c>
      <x:c r="J437" s="73" t="n">
        <x:f>INDEX(Drivers!$H$8:$H$13,B437)</x:f>
        <x:v>2</x:v>
      </x:c>
      <x:c r="K437" s="73" t="n">
        <x:f>IF(J437=1,INDEX(TrackMap!$I$8:$I$141,H437),INDEX(TrackMap!$L$8:$L$141,H437))</x:f>
        <x:v>3041</x:v>
      </x:c>
      <x:c r="L437" s="73" t="str">
        <x:f>INDEX(TrackMap!$F$8:$F$141,H437)</x:f>
        <x:v>←</x:v>
      </x:c>
      <x:c r="M437" s="87" t="n">
        <x:f>MAX(0,G437/Control!$B$17)</x:f>
        <x:v>0.36437559974156614</x:v>
      </x:c>
      <x:c r="N437" s="73" t="n">
        <x:f>IF(N431&gt;0,N431,IF(G437&gt;=Control!$B$17,A437,0))</x:f>
        <x:v>0</x:v>
      </x:c>
      <x:c r="O437" s="91" t="n">
        <x:f>IF(N437&gt;0,Control!$B$17+Control!$B$8+1-N437,G437)-B437/100000</x:f>
        <x:v>244.1316118268493</x:v>
      </x:c>
      <x:c r="P437" s="73" t="n">
        <x:f>COUNTIF($O$434:$O$439,"&gt;"&amp;O437)+1</x:f>
        <x:v>2</x:v>
      </x:c>
      <x:c r="Q437" s="83" t="n">
        <x:f>MAX($G$434:$G$439)-G437</x:f>
        <x:v>4.309368062144671</x:v>
      </x:c>
      <x:c r="R437" s="73" t="str">
        <x:f>INDEX(TrackMap!$B$8:$B$141,H437)</x:f>
        <x:v>发车大直道</x:v>
      </x:c>
    </x:row>
    <x:row r="438" ht="20" customHeight="1">
      <x:c r="A438" s="73" t="n">
        <x:v>71</x:v>
      </x:c>
      <x:c r="B438" s="73" t="n">
        <x:v>5</x:v>
      </x:c>
      <x:c r="C438" s="73" t="str">
        <x:f>INDEX(Drivers!$B$8:$B$13,B438)</x:f>
        <x:v>青锋</x:v>
      </x:c>
      <x:c r="D438" s="83" t="n">
        <x:f>G432</x:f>
        <x:v>235.9606111873725</x:v>
      </x:c>
      <x:c r="E438" s="83" t="str">
        <x:f>IF(A438=0,"GRID",IF(D438&gt;=Control!$B$17,"FINISHED",IF(AND(A438&gt;=INDEX(Drivers!$G$8:$G$13,B438),A438&lt;INDEX(Drivers!$G$8:$G$13,B438)+INDEX(Drivers!$J$8:$J$13,B438)),"PIT",IF(MOD(A438+INDEX(Drivers!$F$8:$F$13,B438),Control!$B$11)&lt;Control!$B$13,"BOOST","RACE"))))</x:f>
        <x:v>RACE</x:v>
      </x:c>
      <x:c r="F438" s="83" t="n">
        <x:f>IF(OR(E438="GRID",E438="FINISHED",E438="PIT"),0,MAX(Control!$B$15,(INDEX(Drivers!$D$8:$D$13,B438)+INDEX(Drivers!$E$8:$E$13,B438)*SIN((A438+INDEX(Drivers!$F$8:$F$13,B438)+Control!$B$16)*Control!$B$14))*INDEX(TrackMap!$M$8:$M$141,MOD(INT(D438)-1,Control!$B$7)+1)*IF(E438="BOOST",Control!$B$12,1)))</x:f>
        <x:v>3.236347669350141</x:v>
      </x:c>
      <x:c r="G438" s="83" t="n">
        <x:f>IF(A438=0,D438,MIN(Control!$B$17,D438+F438))</x:f>
        <x:v>239.19695885672266</x:v>
      </x:c>
      <x:c r="H438" s="73" t="n">
        <x:f>MOD(INT(G438)-1,Control!$B$7)+1</x:f>
        <x:v>105</x:v>
      </x:c>
      <x:c r="I438" s="73" t="n">
        <x:f>MIN(Control!$B$6,MAX(1,INT(MAX(0,G438)/Control!$B$7)+1))</x:f>
        <x:v>2</x:v>
      </x:c>
      <x:c r="J438" s="73" t="n">
        <x:f>INDEX(Drivers!$H$8:$H$13,B438)</x:f>
        <x:v>1</x:v>
      </x:c>
      <x:c r="K438" s="73" t="n">
        <x:f>IF(J438=1,INDEX(TrackMap!$I$8:$I$141,H438),INDEX(TrackMap!$L$8:$L$141,H438))</x:f>
        <x:v>3146</x:v>
      </x:c>
      <x:c r="L438" s="73" t="str">
        <x:f>INDEX(TrackMap!$F$8:$F$141,H438)</x:f>
        <x:v>←</x:v>
      </x:c>
      <x:c r="M438" s="87" t="n">
        <x:f>MAX(0,G438/Control!$B$17)</x:f>
        <x:v>0.3570103863533174</x:v>
      </x:c>
      <x:c r="N438" s="73" t="n">
        <x:f>IF(N432&gt;0,N432,IF(G438&gt;=Control!$B$17,A438,0))</x:f>
        <x:v>0</x:v>
      </x:c>
      <x:c r="O438" s="91" t="n">
        <x:f>IF(N438&gt;0,Control!$B$17+Control!$B$8+1-N438,G438)-B438/100000</x:f>
        <x:v>239.19690885672267</x:v>
      </x:c>
      <x:c r="P438" s="73" t="n">
        <x:f>COUNTIF($O$434:$O$439,"&gt;"&amp;O438)+1</x:f>
        <x:v>6</x:v>
      </x:c>
      <x:c r="Q438" s="83" t="n">
        <x:f>MAX($G$434:$G$439)-G438</x:f>
        <x:v>9.244061032271333</x:v>
      </x:c>
      <x:c r="R438" s="73" t="str">
        <x:f>INDEX(TrackMap!$B$8:$B$141,H438)</x:f>
        <x:v>发车大直道</x:v>
      </x:c>
    </x:row>
    <x:row r="439" ht="20" customHeight="1">
      <x:c r="A439" s="73" t="n">
        <x:v>71</x:v>
      </x:c>
      <x:c r="B439" s="73" t="n">
        <x:v>6</x:v>
      </x:c>
      <x:c r="C439" s="73" t="str">
        <x:f>INDEX(Drivers!$B$8:$B$13,B439)</x:f>
        <x:v>玫速</x:v>
      </x:c>
      <x:c r="D439" s="83" t="n">
        <x:f>G433</x:f>
        <x:v>236.83987339128296</x:v>
      </x:c>
      <x:c r="E439" s="83" t="str">
        <x:f>IF(A439=0,"GRID",IF(D439&gt;=Control!$B$17,"FINISHED",IF(AND(A439&gt;=INDEX(Drivers!$G$8:$G$13,B439),A439&lt;INDEX(Drivers!$G$8:$G$13,B439)+INDEX(Drivers!$J$8:$J$13,B439)),"PIT",IF(MOD(A439+INDEX(Drivers!$F$8:$F$13,B439),Control!$B$11)&lt;Control!$B$13,"BOOST","RACE"))))</x:f>
        <x:v>RACE</x:v>
      </x:c>
      <x:c r="F439" s="83" t="n">
        <x:f>IF(OR(E439="GRID",E439="FINISHED",E439="PIT"),0,MAX(Control!$B$15,(INDEX(Drivers!$D$8:$D$13,B439)+INDEX(Drivers!$E$8:$E$13,B439)*SIN((A439+INDEX(Drivers!$F$8:$F$13,B439)+Control!$B$16)*Control!$B$14))*INDEX(TrackMap!$M$8:$M$141,MOD(INT(D439)-1,Control!$B$7)+1)*IF(E439="BOOST",Control!$B$12,1)))</x:f>
        <x:v>2.4863536586794566</x:v>
      </x:c>
      <x:c r="G439" s="83" t="n">
        <x:f>IF(A439=0,D439,MIN(Control!$B$17,D439+F439))</x:f>
        <x:v>239.32622704996243</x:v>
      </x:c>
      <x:c r="H439" s="73" t="n">
        <x:f>MOD(INT(G439)-1,Control!$B$7)+1</x:f>
        <x:v>105</x:v>
      </x:c>
      <x:c r="I439" s="73" t="n">
        <x:f>MIN(Control!$B$6,MAX(1,INT(MAX(0,G439)/Control!$B$7)+1))</x:f>
        <x:v>2</x:v>
      </x:c>
      <x:c r="J439" s="73" t="n">
        <x:f>INDEX(Drivers!$H$8:$H$13,B439)</x:f>
        <x:v>2</x:v>
      </x:c>
      <x:c r="K439" s="73" t="n">
        <x:f>IF(J439=1,INDEX(TrackMap!$I$8:$I$141,H439),INDEX(TrackMap!$L$8:$L$141,H439))</x:f>
        <x:v>3046</x:v>
      </x:c>
      <x:c r="L439" s="73" t="str">
        <x:f>INDEX(TrackMap!$F$8:$F$141,H439)</x:f>
        <x:v>←</x:v>
      </x:c>
      <x:c r="M439" s="87" t="n">
        <x:f>MAX(0,G439/Control!$B$17)</x:f>
        <x:v>0.3572033239551678</x:v>
      </x:c>
      <x:c r="N439" s="73" t="n">
        <x:f>IF(N433&gt;0,N433,IF(G439&gt;=Control!$B$17,A439,0))</x:f>
        <x:v>0</x:v>
      </x:c>
      <x:c r="O439" s="91" t="n">
        <x:f>IF(N439&gt;0,Control!$B$17+Control!$B$8+1-N439,G439)-B439/100000</x:f>
        <x:v>239.32616704996244</x:v>
      </x:c>
      <x:c r="P439" s="73" t="n">
        <x:f>COUNTIF($O$434:$O$439,"&gt;"&amp;O439)+1</x:f>
        <x:v>5</x:v>
      </x:c>
      <x:c r="Q439" s="83" t="n">
        <x:f>MAX($G$434:$G$439)-G439</x:f>
        <x:v>9.114792839031566</x:v>
      </x:c>
      <x:c r="R439" s="73" t="str">
        <x:f>INDEX(TrackMap!$B$8:$B$141,H439)</x:f>
        <x:v>发车大直道</x:v>
      </x:c>
    </x:row>
    <x:row r="440" ht="20" customHeight="1">
      <x:c r="A440" s="73" t="n">
        <x:v>72</x:v>
      </x:c>
      <x:c r="B440" s="73" t="n">
        <x:v>1</x:v>
      </x:c>
      <x:c r="C440" s="73" t="str">
        <x:f>INDEX(Drivers!$B$8:$B$13,B440)</x:f>
        <x:v>赤焰</x:v>
      </x:c>
      <x:c r="D440" s="83" t="n">
        <x:f>G434</x:f>
        <x:v>248.441019888994</x:v>
      </x:c>
      <x:c r="E440" s="83" t="str">
        <x:f>IF(A440=0,"GRID",IF(D440&gt;=Control!$B$17,"FINISHED",IF(AND(A440&gt;=INDEX(Drivers!$G$8:$G$13,B440),A440&lt;INDEX(Drivers!$G$8:$G$13,B440)+INDEX(Drivers!$J$8:$J$13,B440)),"PIT",IF(MOD(A440+INDEX(Drivers!$F$8:$F$13,B440),Control!$B$11)&lt;Control!$B$13,"BOOST","RACE"))))</x:f>
        <x:v>RACE</x:v>
      </x:c>
      <x:c r="F440" s="83" t="n">
        <x:f>IF(OR(E440="GRID",E440="FINISHED",E440="PIT"),0,MAX(Control!$B$15,(INDEX(Drivers!$D$8:$D$13,B440)+INDEX(Drivers!$E$8:$E$13,B440)*SIN((A440+INDEX(Drivers!$F$8:$F$13,B440)+Control!$B$16)*Control!$B$14))*INDEX(TrackMap!$M$8:$M$141,MOD(INT(D440)-1,Control!$B$7)+1)*IF(E440="BOOST",Control!$B$12,1)))</x:f>
        <x:v>3.866241855500762</x:v>
      </x:c>
      <x:c r="G440" s="83" t="n">
        <x:f>IF(A440=0,D440,MIN(Control!$B$17,D440+F440))</x:f>
        <x:v>252.30726174449475</x:v>
      </x:c>
      <x:c r="H440" s="73" t="n">
        <x:f>MOD(INT(G440)-1,Control!$B$7)+1</x:f>
        <x:v>118</x:v>
      </x:c>
      <x:c r="I440" s="73" t="n">
        <x:f>MIN(Control!$B$6,MAX(1,INT(MAX(0,G440)/Control!$B$7)+1))</x:f>
        <x:v>2</x:v>
      </x:c>
      <x:c r="J440" s="73" t="n">
        <x:f>INDEX(Drivers!$H$8:$H$13,B440)</x:f>
        <x:v>1</x:v>
      </x:c>
      <x:c r="K440" s="73" t="n">
        <x:f>IF(J440=1,INDEX(TrackMap!$I$8:$I$141,H440),INDEX(TrackMap!$L$8:$L$141,H440))</x:f>
        <x:v>3133</x:v>
      </x:c>
      <x:c r="L440" s="73" t="str">
        <x:f>INDEX(TrackMap!$F$8:$F$141,H440)</x:f>
        <x:v>←</x:v>
      </x:c>
      <x:c r="M440" s="87" t="n">
        <x:f>MAX(0,G440/Control!$B$17)</x:f>
        <x:v>0.37657800260372354</x:v>
      </x:c>
      <x:c r="N440" s="73" t="n">
        <x:f>IF(N434&gt;0,N434,IF(G440&gt;=Control!$B$17,A440,0))</x:f>
        <x:v>0</x:v>
      </x:c>
      <x:c r="O440" s="91" t="n">
        <x:f>IF(N440&gt;0,Control!$B$17+Control!$B$8+1-N440,G440)-B440/100000</x:f>
        <x:v>252.30725174449475</x:v>
      </x:c>
      <x:c r="P440" s="73" t="n">
        <x:f>COUNTIF($O$440:$O$445,"&gt;"&amp;O440)+1</x:f>
        <x:v>1</x:v>
      </x:c>
      <x:c r="Q440" s="83" t="n">
        <x:f>MAX($G$440:$G$445)-G440</x:f>
        <x:v>0</x:v>
      </x:c>
      <x:c r="R440" s="73" t="str">
        <x:f>INDEX(TrackMap!$B$8:$B$141,H440)</x:f>
        <x:v>发车大直道</x:v>
      </x:c>
    </x:row>
    <x:row r="441" ht="20" customHeight="1">
      <x:c r="A441" s="73" t="n">
        <x:v>72</x:v>
      </x:c>
      <x:c r="B441" s="73" t="n">
        <x:v>2</x:v>
      </x:c>
      <x:c r="C441" s="73" t="str">
        <x:f>INDEX(Drivers!$B$8:$B$13,B441)</x:f>
        <x:v>蓝电</x:v>
      </x:c>
      <x:c r="D441" s="83" t="n">
        <x:f>G435</x:f>
        <x:v>242.77919722045462</x:v>
      </x:c>
      <x:c r="E441" s="83" t="str">
        <x:f>IF(A441=0,"GRID",IF(D441&gt;=Control!$B$17,"FINISHED",IF(AND(A441&gt;=INDEX(Drivers!$G$8:$G$13,B441),A441&lt;INDEX(Drivers!$G$8:$G$13,B441)+INDEX(Drivers!$J$8:$J$13,B441)),"PIT",IF(MOD(A441+INDEX(Drivers!$F$8:$F$13,B441),Control!$B$11)&lt;Control!$B$13,"BOOST","RACE"))))</x:f>
        <x:v>RACE</x:v>
      </x:c>
      <x:c r="F441" s="83" t="n">
        <x:f>IF(OR(E441="GRID",E441="FINISHED",E441="PIT"),0,MAX(Control!$B$15,(INDEX(Drivers!$D$8:$D$13,B441)+INDEX(Drivers!$E$8:$E$13,B441)*SIN((A441+INDEX(Drivers!$F$8:$F$13,B441)+Control!$B$16)*Control!$B$14))*INDEX(TrackMap!$M$8:$M$141,MOD(INT(D441)-1,Control!$B$7)+1)*IF(E441="BOOST",Control!$B$12,1)))</x:f>
        <x:v>3.6681908328717823</x:v>
      </x:c>
      <x:c r="G441" s="83" t="n">
        <x:f>IF(A441=0,D441,MIN(Control!$B$17,D441+F441))</x:f>
        <x:v>246.4473880533264</x:v>
      </x:c>
      <x:c r="H441" s="73" t="n">
        <x:f>MOD(INT(G441)-1,Control!$B$7)+1</x:f>
        <x:v>112</x:v>
      </x:c>
      <x:c r="I441" s="73" t="n">
        <x:f>MIN(Control!$B$6,MAX(1,INT(MAX(0,G441)/Control!$B$7)+1))</x:f>
        <x:v>2</x:v>
      </x:c>
      <x:c r="J441" s="73" t="n">
        <x:f>INDEX(Drivers!$H$8:$H$13,B441)</x:f>
        <x:v>2</x:v>
      </x:c>
      <x:c r="K441" s="73" t="n">
        <x:f>IF(J441=1,INDEX(TrackMap!$I$8:$I$141,H441),INDEX(TrackMap!$L$8:$L$141,H441))</x:f>
        <x:v>3039</x:v>
      </x:c>
      <x:c r="L441" s="73" t="str">
        <x:f>INDEX(TrackMap!$F$8:$F$141,H441)</x:f>
        <x:v>←</x:v>
      </x:c>
      <x:c r="M441" s="87" t="n">
        <x:f>MAX(0,G441/Control!$B$17)</x:f>
        <x:v>0.36783192246765134</x:v>
      </x:c>
      <x:c r="N441" s="73" t="n">
        <x:f>IF(N435&gt;0,N435,IF(G441&gt;=Control!$B$17,A441,0))</x:f>
        <x:v>0</x:v>
      </x:c>
      <x:c r="O441" s="91" t="n">
        <x:f>IF(N441&gt;0,Control!$B$17+Control!$B$8+1-N441,G441)-B441/100000</x:f>
        <x:v>246.4473680533264</x:v>
      </x:c>
      <x:c r="P441" s="73" t="n">
        <x:f>COUNTIF($O$440:$O$445,"&gt;"&amp;O441)+1</x:f>
        <x:v>3</x:v>
      </x:c>
      <x:c r="Q441" s="83" t="n">
        <x:f>MAX($G$440:$G$445)-G441</x:f>
        <x:v>5.85987369116836</x:v>
      </x:c>
      <x:c r="R441" s="73" t="str">
        <x:f>INDEX(TrackMap!$B$8:$B$141,H441)</x:f>
        <x:v>发车大直道</x:v>
      </x:c>
    </x:row>
    <x:row r="442" ht="20" customHeight="1">
      <x:c r="A442" s="73" t="n">
        <x:v>72</x:v>
      </x:c>
      <x:c r="B442" s="73" t="n">
        <x:v>3</x:v>
      </x:c>
      <x:c r="C442" s="73" t="str">
        <x:f>INDEX(Drivers!$B$8:$B$13,B442)</x:f>
        <x:v>金翼</x:v>
      </x:c>
      <x:c r="D442" s="83" t="n">
        <x:f>G436</x:f>
        <x:v>242.55859048306354</x:v>
      </x:c>
      <x:c r="E442" s="83" t="str">
        <x:f>IF(A442=0,"GRID",IF(D442&gt;=Control!$B$17,"FINISHED",IF(AND(A442&gt;=INDEX(Drivers!$G$8:$G$13,B442),A442&lt;INDEX(Drivers!$G$8:$G$13,B442)+INDEX(Drivers!$J$8:$J$13,B442)),"PIT",IF(MOD(A442+INDEX(Drivers!$F$8:$F$13,B442),Control!$B$11)&lt;Control!$B$13,"BOOST","RACE"))))</x:f>
        <x:v>RACE</x:v>
      </x:c>
      <x:c r="F442" s="83" t="n">
        <x:f>IF(OR(E442="GRID",E442="FINISHED",E442="PIT"),0,MAX(Control!$B$15,(INDEX(Drivers!$D$8:$D$13,B442)+INDEX(Drivers!$E$8:$E$13,B442)*SIN((A442+INDEX(Drivers!$F$8:$F$13,B442)+Control!$B$16)*Control!$B$14))*INDEX(TrackMap!$M$8:$M$141,MOD(INT(D442)-1,Control!$B$7)+1)*IF(E442="BOOST",Control!$B$12,1)))</x:f>
        <x:v>3.3782309333215004</x:v>
      </x:c>
      <x:c r="G442" s="83" t="n">
        <x:f>IF(A442=0,D442,MIN(Control!$B$17,D442+F442))</x:f>
        <x:v>245.93682141638504</x:v>
      </x:c>
      <x:c r="H442" s="73" t="n">
        <x:f>MOD(INT(G442)-1,Control!$B$7)+1</x:f>
        <x:v>111</x:v>
      </x:c>
      <x:c r="I442" s="73" t="n">
        <x:f>MIN(Control!$B$6,MAX(1,INT(MAX(0,G442)/Control!$B$7)+1))</x:f>
        <x:v>2</x:v>
      </x:c>
      <x:c r="J442" s="73" t="n">
        <x:f>INDEX(Drivers!$H$8:$H$13,B442)</x:f>
        <x:v>1</x:v>
      </x:c>
      <x:c r="K442" s="73" t="n">
        <x:f>IF(J442=1,INDEX(TrackMap!$I$8:$I$141,H442),INDEX(TrackMap!$L$8:$L$141,H442))</x:f>
        <x:v>3140</x:v>
      </x:c>
      <x:c r="L442" s="73" t="str">
        <x:f>INDEX(TrackMap!$F$8:$F$141,H442)</x:f>
        <x:v>←</x:v>
      </x:c>
      <x:c r="M442" s="87" t="n">
        <x:f>MAX(0,G442/Control!$B$17)</x:f>
        <x:v>0.3670698827110225</x:v>
      </x:c>
      <x:c r="N442" s="73" t="n">
        <x:f>IF(N436&gt;0,N436,IF(G442&gt;=Control!$B$17,A442,0))</x:f>
        <x:v>0</x:v>
      </x:c>
      <x:c r="O442" s="91" t="n">
        <x:f>IF(N442&gt;0,Control!$B$17+Control!$B$8+1-N442,G442)-B442/100000</x:f>
        <x:v>245.93679141638503</x:v>
      </x:c>
      <x:c r="P442" s="73" t="n">
        <x:f>COUNTIF($O$440:$O$445,"&gt;"&amp;O442)+1</x:f>
        <x:v>4</x:v>
      </x:c>
      <x:c r="Q442" s="83" t="n">
        <x:f>MAX($G$440:$G$445)-G442</x:f>
        <x:v>6.370440328109709</x:v>
      </x:c>
      <x:c r="R442" s="73" t="str">
        <x:f>INDEX(TrackMap!$B$8:$B$141,H442)</x:f>
        <x:v>发车大直道</x:v>
      </x:c>
    </x:row>
    <x:row r="443" ht="20" customHeight="1">
      <x:c r="A443" s="73" t="n">
        <x:v>72</x:v>
      </x:c>
      <x:c r="B443" s="73" t="n">
        <x:v>4</x:v>
      </x:c>
      <x:c r="C443" s="73" t="str">
        <x:f>INDEX(Drivers!$B$8:$B$13,B443)</x:f>
        <x:v>紫影</x:v>
      </x:c>
      <x:c r="D443" s="83" t="n">
        <x:f>G437</x:f>
        <x:v>244.13165182684932</x:v>
      </x:c>
      <x:c r="E443" s="83" t="str">
        <x:f>IF(A443=0,"GRID",IF(D443&gt;=Control!$B$17,"FINISHED",IF(AND(A443&gt;=INDEX(Drivers!$G$8:$G$13,B443),A443&lt;INDEX(Drivers!$G$8:$G$13,B443)+INDEX(Drivers!$J$8:$J$13,B443)),"PIT",IF(MOD(A443+INDEX(Drivers!$F$8:$F$13,B443),Control!$B$11)&lt;Control!$B$13,"BOOST","RACE"))))</x:f>
        <x:v>BOOST</x:v>
      </x:c>
      <x:c r="F443" s="83" t="n">
        <x:f>IF(OR(E443="GRID",E443="FINISHED",E443="PIT"),0,MAX(Control!$B$15,(INDEX(Drivers!$D$8:$D$13,B443)+INDEX(Drivers!$E$8:$E$13,B443)*SIN((A443+INDEX(Drivers!$F$8:$F$13,B443)+Control!$B$16)*Control!$B$14))*INDEX(TrackMap!$M$8:$M$141,MOD(INT(D443)-1,Control!$B$7)+1)*IF(E443="BOOST",Control!$B$12,1)))</x:f>
        <x:v>5.603228710948519</x:v>
      </x:c>
      <x:c r="G443" s="83" t="n">
        <x:f>IF(A443=0,D443,MIN(Control!$B$17,D443+F443))</x:f>
        <x:v>249.73488053779784</x:v>
      </x:c>
      <x:c r="H443" s="73" t="n">
        <x:f>MOD(INT(G443)-1,Control!$B$7)+1</x:f>
        <x:v>115</x:v>
      </x:c>
      <x:c r="I443" s="73" t="n">
        <x:f>MIN(Control!$B$6,MAX(1,INT(MAX(0,G443)/Control!$B$7)+1))</x:f>
        <x:v>2</x:v>
      </x:c>
      <x:c r="J443" s="73" t="n">
        <x:f>INDEX(Drivers!$H$8:$H$13,B443)</x:f>
        <x:v>2</x:v>
      </x:c>
      <x:c r="K443" s="73" t="n">
        <x:f>IF(J443=1,INDEX(TrackMap!$I$8:$I$141,H443),INDEX(TrackMap!$L$8:$L$141,H443))</x:f>
        <x:v>3036</x:v>
      </x:c>
      <x:c r="L443" s="73" t="str">
        <x:f>INDEX(TrackMap!$F$8:$F$141,H443)</x:f>
        <x:v>←</x:v>
      </x:c>
      <x:c r="M443" s="87" t="n">
        <x:f>MAX(0,G443/Control!$B$17)</x:f>
        <x:v>0.37273862766835497</x:v>
      </x:c>
      <x:c r="N443" s="73" t="n">
        <x:f>IF(N437&gt;0,N437,IF(G443&gt;=Control!$B$17,A443,0))</x:f>
        <x:v>0</x:v>
      </x:c>
      <x:c r="O443" s="91" t="n">
        <x:f>IF(N443&gt;0,Control!$B$17+Control!$B$8+1-N443,G443)-B443/100000</x:f>
        <x:v>249.73484053779782</x:v>
      </x:c>
      <x:c r="P443" s="73" t="n">
        <x:f>COUNTIF($O$440:$O$445,"&gt;"&amp;O443)+1</x:f>
        <x:v>2</x:v>
      </x:c>
      <x:c r="Q443" s="83" t="n">
        <x:f>MAX($G$440:$G$445)-G443</x:f>
        <x:v>2.5723812066969174</x:v>
      </x:c>
      <x:c r="R443" s="73" t="str">
        <x:f>INDEX(TrackMap!$B$8:$B$141,H443)</x:f>
        <x:v>发车大直道</x:v>
      </x:c>
    </x:row>
    <x:row r="444" ht="20" customHeight="1">
      <x:c r="A444" s="73" t="n">
        <x:v>72</x:v>
      </x:c>
      <x:c r="B444" s="73" t="n">
        <x:v>5</x:v>
      </x:c>
      <x:c r="C444" s="73" t="str">
        <x:f>INDEX(Drivers!$B$8:$B$13,B444)</x:f>
        <x:v>青锋</x:v>
      </x:c>
      <x:c r="D444" s="83" t="n">
        <x:f>G438</x:f>
        <x:v>239.19695885672266</x:v>
      </x:c>
      <x:c r="E444" s="83" t="str">
        <x:f>IF(A444=0,"GRID",IF(D444&gt;=Control!$B$17,"FINISHED",IF(AND(A444&gt;=INDEX(Drivers!$G$8:$G$13,B444),A444&lt;INDEX(Drivers!$G$8:$G$13,B444)+INDEX(Drivers!$J$8:$J$13,B444)),"PIT",IF(MOD(A444+INDEX(Drivers!$F$8:$F$13,B444),Control!$B$11)&lt;Control!$B$13,"BOOST","RACE"))))</x:f>
        <x:v>RACE</x:v>
      </x:c>
      <x:c r="F444" s="83" t="n">
        <x:f>IF(OR(E444="GRID",E444="FINISHED",E444="PIT"),0,MAX(Control!$B$15,(INDEX(Drivers!$D$8:$D$13,B444)+INDEX(Drivers!$E$8:$E$13,B444)*SIN((A444+INDEX(Drivers!$F$8:$F$13,B444)+Control!$B$16)*Control!$B$14))*INDEX(TrackMap!$M$8:$M$141,MOD(INT(D444)-1,Control!$B$7)+1)*IF(E444="BOOST",Control!$B$12,1)))</x:f>
        <x:v>4.124690944169127</x:v>
      </x:c>
      <x:c r="G444" s="83" t="n">
        <x:f>IF(A444=0,D444,MIN(Control!$B$17,D444+F444))</x:f>
        <x:v>243.32164980089178</x:v>
      </x:c>
      <x:c r="H444" s="73" t="n">
        <x:f>MOD(INT(G444)-1,Control!$B$7)+1</x:f>
        <x:v>109</x:v>
      </x:c>
      <x:c r="I444" s="73" t="n">
        <x:f>MIN(Control!$B$6,MAX(1,INT(MAX(0,G444)/Control!$B$7)+1))</x:f>
        <x:v>2</x:v>
      </x:c>
      <x:c r="J444" s="73" t="n">
        <x:f>INDEX(Drivers!$H$8:$H$13,B444)</x:f>
        <x:v>1</x:v>
      </x:c>
      <x:c r="K444" s="73" t="n">
        <x:f>IF(J444=1,INDEX(TrackMap!$I$8:$I$141,H444),INDEX(TrackMap!$L$8:$L$141,H444))</x:f>
        <x:v>3142</x:v>
      </x:c>
      <x:c r="L444" s="73" t="str">
        <x:f>INDEX(TrackMap!$F$8:$F$141,H444)</x:f>
        <x:v>←</x:v>
      </x:c>
      <x:c r="M444" s="87" t="n">
        <x:f>MAX(0,G444/Control!$B$17)</x:f>
        <x:v>0.36316664149386835</x:v>
      </x:c>
      <x:c r="N444" s="73" t="n">
        <x:f>IF(N438&gt;0,N438,IF(G444&gt;=Control!$B$17,A444,0))</x:f>
        <x:v>0</x:v>
      </x:c>
      <x:c r="O444" s="91" t="n">
        <x:f>IF(N444&gt;0,Control!$B$17+Control!$B$8+1-N444,G444)-B444/100000</x:f>
        <x:v>243.3215998008918</x:v>
      </x:c>
      <x:c r="P444" s="73" t="n">
        <x:f>COUNTIF($O$440:$O$445,"&gt;"&amp;O444)+1</x:f>
        <x:v>5</x:v>
      </x:c>
      <x:c r="Q444" s="83" t="n">
        <x:f>MAX($G$440:$G$445)-G444</x:f>
        <x:v>8.985611943602976</x:v>
      </x:c>
      <x:c r="R444" s="73" t="str">
        <x:f>INDEX(TrackMap!$B$8:$B$141,H444)</x:f>
        <x:v>发车大直道</x:v>
      </x:c>
    </x:row>
    <x:row r="445" ht="20" customHeight="1">
      <x:c r="A445" s="73" t="n">
        <x:v>72</x:v>
      </x:c>
      <x:c r="B445" s="73" t="n">
        <x:v>6</x:v>
      </x:c>
      <x:c r="C445" s="73" t="str">
        <x:f>INDEX(Drivers!$B$8:$B$13,B445)</x:f>
        <x:v>玫速</x:v>
      </x:c>
      <x:c r="D445" s="83" t="n">
        <x:f>G439</x:f>
        <x:v>239.32622704996243</x:v>
      </x:c>
      <x:c r="E445" s="83" t="str">
        <x:f>IF(A445=0,"GRID",IF(D445&gt;=Control!$B$17,"FINISHED",IF(AND(A445&gt;=INDEX(Drivers!$G$8:$G$13,B445),A445&lt;INDEX(Drivers!$G$8:$G$13,B445)+INDEX(Drivers!$J$8:$J$13,B445)),"PIT",IF(MOD(A445+INDEX(Drivers!$F$8:$F$13,B445),Control!$B$11)&lt;Control!$B$13,"BOOST","RACE"))))</x:f>
        <x:v>RACE</x:v>
      </x:c>
      <x:c r="F445" s="83" t="n">
        <x:f>IF(OR(E445="GRID",E445="FINISHED",E445="PIT"),0,MAX(Control!$B$15,(INDEX(Drivers!$D$8:$D$13,B445)+INDEX(Drivers!$E$8:$E$13,B445)*SIN((A445+INDEX(Drivers!$F$8:$F$13,B445)+Control!$B$16)*Control!$B$14))*INDEX(TrackMap!$M$8:$M$141,MOD(INT(D445)-1,Control!$B$7)+1)*IF(E445="BOOST",Control!$B$12,1)))</x:f>
        <x:v>3.0969577983271197</x:v>
      </x:c>
      <x:c r="G445" s="83" t="n">
        <x:f>IF(A445=0,D445,MIN(Control!$B$17,D445+F445))</x:f>
        <x:v>242.42318484828954</x:v>
      </x:c>
      <x:c r="H445" s="73" t="n">
        <x:f>MOD(INT(G445)-1,Control!$B$7)+1</x:f>
        <x:v>108</x:v>
      </x:c>
      <x:c r="I445" s="73" t="n">
        <x:f>MIN(Control!$B$6,MAX(1,INT(MAX(0,G445)/Control!$B$7)+1))</x:f>
        <x:v>2</x:v>
      </x:c>
      <x:c r="J445" s="73" t="n">
        <x:f>INDEX(Drivers!$H$8:$H$13,B445)</x:f>
        <x:v>2</x:v>
      </x:c>
      <x:c r="K445" s="73" t="n">
        <x:f>IF(J445=1,INDEX(TrackMap!$I$8:$I$141,H445),INDEX(TrackMap!$L$8:$L$141,H445))</x:f>
        <x:v>3043</x:v>
      </x:c>
      <x:c r="L445" s="73" t="str">
        <x:f>INDEX(TrackMap!$F$8:$F$141,H445)</x:f>
        <x:v>←</x:v>
      </x:c>
      <x:c r="M445" s="87" t="n">
        <x:f>MAX(0,G445/Control!$B$17)</x:f>
        <x:v>0.3618256490272978</x:v>
      </x:c>
      <x:c r="N445" s="73" t="n">
        <x:f>IF(N439&gt;0,N439,IF(G445&gt;=Control!$B$17,A445,0))</x:f>
        <x:v>0</x:v>
      </x:c>
      <x:c r="O445" s="91" t="n">
        <x:f>IF(N445&gt;0,Control!$B$17+Control!$B$8+1-N445,G445)-B445/100000</x:f>
        <x:v>242.42312484828955</x:v>
      </x:c>
      <x:c r="P445" s="73" t="n">
        <x:f>COUNTIF($O$440:$O$445,"&gt;"&amp;O445)+1</x:f>
        <x:v>6</x:v>
      </x:c>
      <x:c r="Q445" s="83" t="n">
        <x:f>MAX($G$440:$G$445)-G445</x:f>
        <x:v>9.884076896205215</x:v>
      </x:c>
      <x:c r="R445" s="73" t="str">
        <x:f>INDEX(TrackMap!$B$8:$B$141,H445)</x:f>
        <x:v>发车大直道</x:v>
      </x:c>
    </x:row>
    <x:row r="446" ht="20" customHeight="1">
      <x:c r="A446" s="73" t="n">
        <x:v>73</x:v>
      </x:c>
      <x:c r="B446" s="73" t="n">
        <x:v>1</x:v>
      </x:c>
      <x:c r="C446" s="73" t="str">
        <x:f>INDEX(Drivers!$B$8:$B$13,B446)</x:f>
        <x:v>赤焰</x:v>
      </x:c>
      <x:c r="D446" s="83" t="n">
        <x:f>G440</x:f>
        <x:v>252.30726174449475</x:v>
      </x:c>
      <x:c r="E446" s="83" t="str">
        <x:f>IF(A446=0,"GRID",IF(D446&gt;=Control!$B$17,"FINISHED",IF(AND(A446&gt;=INDEX(Drivers!$G$8:$G$13,B446),A446&lt;INDEX(Drivers!$G$8:$G$13,B446)+INDEX(Drivers!$J$8:$J$13,B446)),"PIT",IF(MOD(A446+INDEX(Drivers!$F$8:$F$13,B446),Control!$B$11)&lt;Control!$B$13,"BOOST","RACE"))))</x:f>
        <x:v>RACE</x:v>
      </x:c>
      <x:c r="F446" s="83" t="n">
        <x:f>IF(OR(E446="GRID",E446="FINISHED",E446="PIT"),0,MAX(Control!$B$15,(INDEX(Drivers!$D$8:$D$13,B446)+INDEX(Drivers!$E$8:$E$13,B446)*SIN((A446+INDEX(Drivers!$F$8:$F$13,B446)+Control!$B$16)*Control!$B$14))*INDEX(TrackMap!$M$8:$M$141,MOD(INT(D446)-1,Control!$B$7)+1)*IF(E446="BOOST",Control!$B$12,1)))</x:f>
        <x:v>4.034479611100663</x:v>
      </x:c>
      <x:c r="G446" s="83" t="n">
        <x:f>IF(A446=0,D446,MIN(Control!$B$17,D446+F446))</x:f>
        <x:v>256.3417413555954</x:v>
      </x:c>
      <x:c r="H446" s="73" t="n">
        <x:f>MOD(INT(G446)-1,Control!$B$7)+1</x:f>
        <x:v>122</x:v>
      </x:c>
      <x:c r="I446" s="73" t="n">
        <x:f>MIN(Control!$B$6,MAX(1,INT(MAX(0,G446)/Control!$B$7)+1))</x:f>
        <x:v>2</x:v>
      </x:c>
      <x:c r="J446" s="73" t="n">
        <x:f>INDEX(Drivers!$H$8:$H$13,B446)</x:f>
        <x:v>1</x:v>
      </x:c>
      <x:c r="K446" s="73" t="n">
        <x:f>IF(J446=1,INDEX(TrackMap!$I$8:$I$141,H446),INDEX(TrackMap!$L$8:$L$141,H446))</x:f>
        <x:v>3129</x:v>
      </x:c>
      <x:c r="L446" s="73" t="str">
        <x:f>INDEX(TrackMap!$F$8:$F$141,H446)</x:f>
        <x:v>←</x:v>
      </x:c>
      <x:c r="M446" s="87" t="n">
        <x:f>MAX(0,G446/Control!$B$17)</x:f>
        <x:v>0.3825996139635752</x:v>
      </x:c>
      <x:c r="N446" s="73" t="n">
        <x:f>IF(N440&gt;0,N440,IF(G446&gt;=Control!$B$17,A446,0))</x:f>
        <x:v>0</x:v>
      </x:c>
      <x:c r="O446" s="91" t="n">
        <x:f>IF(N446&gt;0,Control!$B$17+Control!$B$8+1-N446,G446)-B446/100000</x:f>
        <x:v>256.3417313555954</x:v>
      </x:c>
      <x:c r="P446" s="73" t="n">
        <x:f>COUNTIF($O$446:$O$451,"&gt;"&amp;O446)+1</x:f>
        <x:v>1</x:v>
      </x:c>
      <x:c r="Q446" s="83" t="n">
        <x:f>MAX($G$446:$G$451)-G446</x:f>
        <x:v>0</x:v>
      </x:c>
      <x:c r="R446" s="73" t="str">
        <x:f>INDEX(TrackMap!$B$8:$B$141,H446)</x:f>
        <x:v>发车大直道</x:v>
      </x:c>
    </x:row>
    <x:row r="447" ht="20" customHeight="1">
      <x:c r="A447" s="73" t="n">
        <x:v>73</x:v>
      </x:c>
      <x:c r="B447" s="73" t="n">
        <x:v>2</x:v>
      </x:c>
      <x:c r="C447" s="73" t="str">
        <x:f>INDEX(Drivers!$B$8:$B$13,B447)</x:f>
        <x:v>蓝电</x:v>
      </x:c>
      <x:c r="D447" s="83" t="n">
        <x:f>G441</x:f>
        <x:v>246.4473880533264</x:v>
      </x:c>
      <x:c r="E447" s="83" t="str">
        <x:f>IF(A447=0,"GRID",IF(D447&gt;=Control!$B$17,"FINISHED",IF(AND(A447&gt;=INDEX(Drivers!$G$8:$G$13,B447),A447&lt;INDEX(Drivers!$G$8:$G$13,B447)+INDEX(Drivers!$J$8:$J$13,B447)),"PIT",IF(MOD(A447+INDEX(Drivers!$F$8:$F$13,B447),Control!$B$11)&lt;Control!$B$13,"BOOST","RACE"))))</x:f>
        <x:v>RACE</x:v>
      </x:c>
      <x:c r="F447" s="83" t="n">
        <x:f>IF(OR(E447="GRID",E447="FINISHED",E447="PIT"),0,MAX(Control!$B$15,(INDEX(Drivers!$D$8:$D$13,B447)+INDEX(Drivers!$E$8:$E$13,B447)*SIN((A447+INDEX(Drivers!$F$8:$F$13,B447)+Control!$B$16)*Control!$B$14))*INDEX(TrackMap!$M$8:$M$141,MOD(INT(D447)-1,Control!$B$7)+1)*IF(E447="BOOST",Control!$B$12,1)))</x:f>
        <x:v>3.4476100205736246</x:v>
      </x:c>
      <x:c r="G447" s="83" t="n">
        <x:f>IF(A447=0,D447,MIN(Control!$B$17,D447+F447))</x:f>
        <x:v>249.8949980739</x:v>
      </x:c>
      <x:c r="H447" s="73" t="n">
        <x:f>MOD(INT(G447)-1,Control!$B$7)+1</x:f>
        <x:v>115</x:v>
      </x:c>
      <x:c r="I447" s="73" t="n">
        <x:f>MIN(Control!$B$6,MAX(1,INT(MAX(0,G447)/Control!$B$7)+1))</x:f>
        <x:v>2</x:v>
      </x:c>
      <x:c r="J447" s="73" t="n">
        <x:f>INDEX(Drivers!$H$8:$H$13,B447)</x:f>
        <x:v>2</x:v>
      </x:c>
      <x:c r="K447" s="73" t="n">
        <x:f>IF(J447=1,INDEX(TrackMap!$I$8:$I$141,H447),INDEX(TrackMap!$L$8:$L$141,H447))</x:f>
        <x:v>3036</x:v>
      </x:c>
      <x:c r="L447" s="73" t="str">
        <x:f>INDEX(TrackMap!$F$8:$F$141,H447)</x:f>
        <x:v>←</x:v>
      </x:c>
      <x:c r="M447" s="87" t="n">
        <x:f>MAX(0,G447/Control!$B$17)</x:f>
        <x:v>0.3729776090655224</x:v>
      </x:c>
      <x:c r="N447" s="73" t="n">
        <x:f>IF(N441&gt;0,N441,IF(G447&gt;=Control!$B$17,A447,0))</x:f>
        <x:v>0</x:v>
      </x:c>
      <x:c r="O447" s="91" t="n">
        <x:f>IF(N447&gt;0,Control!$B$17+Control!$B$8+1-N447,G447)-B447/100000</x:f>
        <x:v>249.8949780739</x:v>
      </x:c>
      <x:c r="P447" s="73" t="n">
        <x:f>COUNTIF($O$446:$O$451,"&gt;"&amp;O447)+1</x:f>
        <x:v>3</x:v>
      </x:c>
      <x:c r="Q447" s="83" t="n">
        <x:f>MAX($G$446:$G$451)-G447</x:f>
        <x:v>6.446743281695376</x:v>
      </x:c>
      <x:c r="R447" s="73" t="str">
        <x:f>INDEX(TrackMap!$B$8:$B$141,H447)</x:f>
        <x:v>发车大直道</x:v>
      </x:c>
    </x:row>
    <x:row r="448" ht="20" customHeight="1">
      <x:c r="A448" s="73" t="n">
        <x:v>73</x:v>
      </x:c>
      <x:c r="B448" s="73" t="n">
        <x:v>3</x:v>
      </x:c>
      <x:c r="C448" s="73" t="str">
        <x:f>INDEX(Drivers!$B$8:$B$13,B448)</x:f>
        <x:v>金翼</x:v>
      </x:c>
      <x:c r="D448" s="83" t="n">
        <x:f>G442</x:f>
        <x:v>245.93682141638504</x:v>
      </x:c>
      <x:c r="E448" s="83" t="str">
        <x:f>IF(A448=0,"GRID",IF(D448&gt;=Control!$B$17,"FINISHED",IF(AND(A448&gt;=INDEX(Drivers!$G$8:$G$13,B448),A448&lt;INDEX(Drivers!$G$8:$G$13,B448)+INDEX(Drivers!$J$8:$J$13,B448)),"PIT",IF(MOD(A448+INDEX(Drivers!$F$8:$F$13,B448),Control!$B$11)&lt;Control!$B$13,"BOOST","RACE"))))</x:f>
        <x:v>RACE</x:v>
      </x:c>
      <x:c r="F448" s="83" t="n">
        <x:f>IF(OR(E448="GRID",E448="FINISHED",E448="PIT"),0,MAX(Control!$B$15,(INDEX(Drivers!$D$8:$D$13,B448)+INDEX(Drivers!$E$8:$E$13,B448)*SIN((A448+INDEX(Drivers!$F$8:$F$13,B448)+Control!$B$16)*Control!$B$14))*INDEX(TrackMap!$M$8:$M$141,MOD(INT(D448)-1,Control!$B$7)+1)*IF(E448="BOOST",Control!$B$12,1)))</x:f>
        <x:v>3.538398666678636</x:v>
      </x:c>
      <x:c r="G448" s="83" t="n">
        <x:f>IF(A448=0,D448,MIN(Control!$B$17,D448+F448))</x:f>
        <x:v>249.47522008306368</x:v>
      </x:c>
      <x:c r="H448" s="73" t="n">
        <x:f>MOD(INT(G448)-1,Control!$B$7)+1</x:f>
        <x:v>115</x:v>
      </x:c>
      <x:c r="I448" s="73" t="n">
        <x:f>MIN(Control!$B$6,MAX(1,INT(MAX(0,G448)/Control!$B$7)+1))</x:f>
        <x:v>2</x:v>
      </x:c>
      <x:c r="J448" s="73" t="n">
        <x:f>INDEX(Drivers!$H$8:$H$13,B448)</x:f>
        <x:v>1</x:v>
      </x:c>
      <x:c r="K448" s="73" t="n">
        <x:f>IF(J448=1,INDEX(TrackMap!$I$8:$I$141,H448),INDEX(TrackMap!$L$8:$L$141,H448))</x:f>
        <x:v>3136</x:v>
      </x:c>
      <x:c r="L448" s="73" t="str">
        <x:f>INDEX(TrackMap!$F$8:$F$141,H448)</x:f>
        <x:v>←</x:v>
      </x:c>
      <x:c r="M448" s="87" t="n">
        <x:f>MAX(0,G448/Control!$B$17)</x:f>
        <x:v>0.3723510747508413</x:v>
      </x:c>
      <x:c r="N448" s="73" t="n">
        <x:f>IF(N442&gt;0,N442,IF(G448&gt;=Control!$B$17,A448,0))</x:f>
        <x:v>0</x:v>
      </x:c>
      <x:c r="O448" s="91" t="n">
        <x:f>IF(N448&gt;0,Control!$B$17+Control!$B$8+1-N448,G448)-B448/100000</x:f>
        <x:v>249.47519008306367</x:v>
      </x:c>
      <x:c r="P448" s="73" t="n">
        <x:f>COUNTIF($O$446:$O$451,"&gt;"&amp;O448)+1</x:f>
        <x:v>4</x:v>
      </x:c>
      <x:c r="Q448" s="83" t="n">
        <x:f>MAX($G$446:$G$451)-G448</x:f>
        <x:v>6.866521272531713</x:v>
      </x:c>
      <x:c r="R448" s="73" t="str">
        <x:f>INDEX(TrackMap!$B$8:$B$141,H448)</x:f>
        <x:v>发车大直道</x:v>
      </x:c>
    </x:row>
    <x:row r="449" ht="20" customHeight="1">
      <x:c r="A449" s="73" t="n">
        <x:v>73</x:v>
      </x:c>
      <x:c r="B449" s="73" t="n">
        <x:v>4</x:v>
      </x:c>
      <x:c r="C449" s="73" t="str">
        <x:f>INDEX(Drivers!$B$8:$B$13,B449)</x:f>
        <x:v>紫影</x:v>
      </x:c>
      <x:c r="D449" s="83" t="n">
        <x:f>G443</x:f>
        <x:v>249.73488053779784</x:v>
      </x:c>
      <x:c r="E449" s="83" t="str">
        <x:f>IF(A449=0,"GRID",IF(D449&gt;=Control!$B$17,"FINISHED",IF(AND(A449&gt;=INDEX(Drivers!$G$8:$G$13,B449),A449&lt;INDEX(Drivers!$G$8:$G$13,B449)+INDEX(Drivers!$J$8:$J$13,B449)),"PIT",IF(MOD(A449+INDEX(Drivers!$F$8:$F$13,B449),Control!$B$11)&lt;Control!$B$13,"BOOST","RACE"))))</x:f>
        <x:v>BOOST</x:v>
      </x:c>
      <x:c r="F449" s="83" t="n">
        <x:f>IF(OR(E449="GRID",E449="FINISHED",E449="PIT"),0,MAX(Control!$B$15,(INDEX(Drivers!$D$8:$D$13,B449)+INDEX(Drivers!$E$8:$E$13,B449)*SIN((A449+INDEX(Drivers!$F$8:$F$13,B449)+Control!$B$16)*Control!$B$14))*INDEX(TrackMap!$M$8:$M$141,MOD(INT(D449)-1,Control!$B$7)+1)*IF(E449="BOOST",Control!$B$12,1)))</x:f>
        <x:v>5.46383985827</x:v>
      </x:c>
      <x:c r="G449" s="83" t="n">
        <x:f>IF(A449=0,D449,MIN(Control!$B$17,D449+F449))</x:f>
        <x:v>255.19872039606784</x:v>
      </x:c>
      <x:c r="H449" s="73" t="n">
        <x:f>MOD(INT(G449)-1,Control!$B$7)+1</x:f>
        <x:v>121</x:v>
      </x:c>
      <x:c r="I449" s="73" t="n">
        <x:f>MIN(Control!$B$6,MAX(1,INT(MAX(0,G449)/Control!$B$7)+1))</x:f>
        <x:v>2</x:v>
      </x:c>
      <x:c r="J449" s="73" t="n">
        <x:f>INDEX(Drivers!$H$8:$H$13,B449)</x:f>
        <x:v>2</x:v>
      </x:c>
      <x:c r="K449" s="73" t="n">
        <x:f>IF(J449=1,INDEX(TrackMap!$I$8:$I$141,H449),INDEX(TrackMap!$L$8:$L$141,H449))</x:f>
        <x:v>3030</x:v>
      </x:c>
      <x:c r="L449" s="73" t="str">
        <x:f>INDEX(TrackMap!$F$8:$F$141,H449)</x:f>
        <x:v>←</x:v>
      </x:c>
      <x:c r="M449" s="87" t="n">
        <x:f>MAX(0,G449/Control!$B$17)</x:f>
        <x:v>0.38089361253144455</x:v>
      </x:c>
      <x:c r="N449" s="73" t="n">
        <x:f>IF(N443&gt;0,N443,IF(G449&gt;=Control!$B$17,A449,0))</x:f>
        <x:v>0</x:v>
      </x:c>
      <x:c r="O449" s="91" t="n">
        <x:f>IF(N449&gt;0,Control!$B$17+Control!$B$8+1-N449,G449)-B449/100000</x:f>
        <x:v>255.19868039606783</x:v>
      </x:c>
      <x:c r="P449" s="73" t="n">
        <x:f>COUNTIF($O$446:$O$451,"&gt;"&amp;O449)+1</x:f>
        <x:v>2</x:v>
      </x:c>
      <x:c r="Q449" s="83" t="n">
        <x:f>MAX($G$446:$G$451)-G449</x:f>
        <x:v>1.1430209595275471</x:v>
      </x:c>
      <x:c r="R449" s="73" t="str">
        <x:f>INDEX(TrackMap!$B$8:$B$141,H449)</x:f>
        <x:v>发车大直道</x:v>
      </x:c>
    </x:row>
    <x:row r="450" ht="20" customHeight="1">
      <x:c r="A450" s="73" t="n">
        <x:v>73</x:v>
      </x:c>
      <x:c r="B450" s="73" t="n">
        <x:v>5</x:v>
      </x:c>
      <x:c r="C450" s="73" t="str">
        <x:f>INDEX(Drivers!$B$8:$B$13,B450)</x:f>
        <x:v>青锋</x:v>
      </x:c>
      <x:c r="D450" s="83" t="n">
        <x:f>G444</x:f>
        <x:v>243.32164980089178</x:v>
      </x:c>
      <x:c r="E450" s="83" t="str">
        <x:f>IF(A450=0,"GRID",IF(D450&gt;=Control!$B$17,"FINISHED",IF(AND(A450&gt;=INDEX(Drivers!$G$8:$G$13,B450),A450&lt;INDEX(Drivers!$G$8:$G$13,B450)+INDEX(Drivers!$J$8:$J$13,B450)),"PIT",IF(MOD(A450+INDEX(Drivers!$F$8:$F$13,B450),Control!$B$11)&lt;Control!$B$13,"BOOST","RACE"))))</x:f>
        <x:v>RACE</x:v>
      </x:c>
      <x:c r="F450" s="83" t="n">
        <x:f>IF(OR(E450="GRID",E450="FINISHED",E450="PIT"),0,MAX(Control!$B$15,(INDEX(Drivers!$D$8:$D$13,B450)+INDEX(Drivers!$E$8:$E$13,B450)*SIN((A450+INDEX(Drivers!$F$8:$F$13,B450)+Control!$B$16)*Control!$B$14))*INDEX(TrackMap!$M$8:$M$141,MOD(INT(D450)-1,Control!$B$7)+1)*IF(E450="BOOST",Control!$B$12,1)))</x:f>
        <x:v>4.033264111091062</x:v>
      </x:c>
      <x:c r="G450" s="83" t="n">
        <x:f>IF(A450=0,D450,MIN(Control!$B$17,D450+F450))</x:f>
        <x:v>247.35491391198283</x:v>
      </x:c>
      <x:c r="H450" s="73" t="n">
        <x:f>MOD(INT(G450)-1,Control!$B$7)+1</x:f>
        <x:v>113</x:v>
      </x:c>
      <x:c r="I450" s="73" t="n">
        <x:f>MIN(Control!$B$6,MAX(1,INT(MAX(0,G450)/Control!$B$7)+1))</x:f>
        <x:v>2</x:v>
      </x:c>
      <x:c r="J450" s="73" t="n">
        <x:f>INDEX(Drivers!$H$8:$H$13,B450)</x:f>
        <x:v>1</x:v>
      </x:c>
      <x:c r="K450" s="73" t="n">
        <x:f>IF(J450=1,INDEX(TrackMap!$I$8:$I$141,H450),INDEX(TrackMap!$L$8:$L$141,H450))</x:f>
        <x:v>3138</x:v>
      </x:c>
      <x:c r="L450" s="73" t="str">
        <x:f>INDEX(TrackMap!$F$8:$F$141,H450)</x:f>
        <x:v>←</x:v>
      </x:c>
      <x:c r="M450" s="87" t="n">
        <x:f>MAX(0,G450/Control!$B$17)</x:f>
        <x:v>0.36918643867460127</x:v>
      </x:c>
      <x:c r="N450" s="73" t="n">
        <x:f>IF(N444&gt;0,N444,IF(G450&gt;=Control!$B$17,A450,0))</x:f>
        <x:v>0</x:v>
      </x:c>
      <x:c r="O450" s="91" t="n">
        <x:f>IF(N450&gt;0,Control!$B$17+Control!$B$8+1-N450,G450)-B450/100000</x:f>
        <x:v>247.35486391198285</x:v>
      </x:c>
      <x:c r="P450" s="73" t="n">
        <x:f>COUNTIF($O$446:$O$451,"&gt;"&amp;O450)+1</x:f>
        <x:v>5</x:v>
      </x:c>
      <x:c r="Q450" s="83" t="n">
        <x:f>MAX($G$446:$G$451)-G450</x:f>
        <x:v>8.986827443612555</x:v>
      </x:c>
      <x:c r="R450" s="73" t="str">
        <x:f>INDEX(TrackMap!$B$8:$B$141,H450)</x:f>
        <x:v>发车大直道</x:v>
      </x:c>
    </x:row>
    <x:row r="451" ht="20" customHeight="1">
      <x:c r="A451" s="73" t="n">
        <x:v>73</x:v>
      </x:c>
      <x:c r="B451" s="73" t="n">
        <x:v>6</x:v>
      </x:c>
      <x:c r="C451" s="73" t="str">
        <x:f>INDEX(Drivers!$B$8:$B$13,B451)</x:f>
        <x:v>玫速</x:v>
      </x:c>
      <x:c r="D451" s="83" t="n">
        <x:f>G445</x:f>
        <x:v>242.42318484828954</x:v>
      </x:c>
      <x:c r="E451" s="83" t="str">
        <x:f>IF(A451=0,"GRID",IF(D451&gt;=Control!$B$17,"FINISHED",IF(AND(A451&gt;=INDEX(Drivers!$G$8:$G$13,B451),A451&lt;INDEX(Drivers!$G$8:$G$13,B451)+INDEX(Drivers!$J$8:$J$13,B451)),"PIT",IF(MOD(A451+INDEX(Drivers!$F$8:$F$13,B451),Control!$B$11)&lt;Control!$B$13,"BOOST","RACE"))))</x:f>
        <x:v>RACE</x:v>
      </x:c>
      <x:c r="F451" s="83" t="n">
        <x:f>IF(OR(E451="GRID",E451="FINISHED",E451="PIT"),0,MAX(Control!$B$15,(INDEX(Drivers!$D$8:$D$13,B451)+INDEX(Drivers!$E$8:$E$13,B451)*SIN((A451+INDEX(Drivers!$F$8:$F$13,B451)+Control!$B$16)*Control!$B$14))*INDEX(TrackMap!$M$8:$M$141,MOD(INT(D451)-1,Control!$B$7)+1)*IF(E451="BOOST",Control!$B$12,1)))</x:f>
        <x:v>3.085194727733159</x:v>
      </x:c>
      <x:c r="G451" s="83" t="n">
        <x:f>IF(A451=0,D451,MIN(Control!$B$17,D451+F451))</x:f>
        <x:v>245.5083795760227</x:v>
      </x:c>
      <x:c r="H451" s="73" t="n">
        <x:f>MOD(INT(G451)-1,Control!$B$7)+1</x:f>
        <x:v>111</x:v>
      </x:c>
      <x:c r="I451" s="73" t="n">
        <x:f>MIN(Control!$B$6,MAX(1,INT(MAX(0,G451)/Control!$B$7)+1))</x:f>
        <x:v>2</x:v>
      </x:c>
      <x:c r="J451" s="73" t="n">
        <x:f>INDEX(Drivers!$H$8:$H$13,B451)</x:f>
        <x:v>2</x:v>
      </x:c>
      <x:c r="K451" s="73" t="n">
        <x:f>IF(J451=1,INDEX(TrackMap!$I$8:$I$141,H451),INDEX(TrackMap!$L$8:$L$141,H451))</x:f>
        <x:v>3040</x:v>
      </x:c>
      <x:c r="L451" s="73" t="str">
        <x:f>INDEX(TrackMap!$F$8:$F$141,H451)</x:f>
        <x:v>←</x:v>
      </x:c>
      <x:c r="M451" s="87" t="n">
        <x:f>MAX(0,G451/Control!$B$17)</x:f>
        <x:v>0.3664304172776458</x:v>
      </x:c>
      <x:c r="N451" s="73" t="n">
        <x:f>IF(N445&gt;0,N445,IF(G451&gt;=Control!$B$17,A451,0))</x:f>
        <x:v>0</x:v>
      </x:c>
      <x:c r="O451" s="91" t="n">
        <x:f>IF(N451&gt;0,Control!$B$17+Control!$B$8+1-N451,G451)-B451/100000</x:f>
        <x:v>245.5083195760227</x:v>
      </x:c>
      <x:c r="P451" s="73" t="n">
        <x:f>COUNTIF($O$446:$O$451,"&gt;"&amp;O451)+1</x:f>
        <x:v>6</x:v>
      </x:c>
      <x:c r="Q451" s="83" t="n">
        <x:f>MAX($G$446:$G$451)-G451</x:f>
        <x:v>10.833361779572698</x:v>
      </x:c>
      <x:c r="R451" s="73" t="str">
        <x:f>INDEX(TrackMap!$B$8:$B$141,H451)</x:f>
        <x:v>发车大直道</x:v>
      </x:c>
    </x:row>
    <x:row r="452" ht="20" customHeight="1">
      <x:c r="A452" s="73" t="n">
        <x:v>74</x:v>
      </x:c>
      <x:c r="B452" s="73" t="n">
        <x:v>1</x:v>
      </x:c>
      <x:c r="C452" s="73" t="str">
        <x:f>INDEX(Drivers!$B$8:$B$13,B452)</x:f>
        <x:v>赤焰</x:v>
      </x:c>
      <x:c r="D452" s="83" t="n">
        <x:f>G446</x:f>
        <x:v>256.3417413555954</x:v>
      </x:c>
      <x:c r="E452" s="83" t="str">
        <x:f>IF(A452=0,"GRID",IF(D452&gt;=Control!$B$17,"FINISHED",IF(AND(A452&gt;=INDEX(Drivers!$G$8:$G$13,B452),A452&lt;INDEX(Drivers!$G$8:$G$13,B452)+INDEX(Drivers!$J$8:$J$13,B452)),"PIT",IF(MOD(A452+INDEX(Drivers!$F$8:$F$13,B452),Control!$B$11)&lt;Control!$B$13,"BOOST","RACE"))))</x:f>
        <x:v>RACE</x:v>
      </x:c>
      <x:c r="F452" s="83" t="n">
        <x:f>IF(OR(E452="GRID",E452="FINISHED",E452="PIT"),0,MAX(Control!$B$15,(INDEX(Drivers!$D$8:$D$13,B452)+INDEX(Drivers!$E$8:$E$13,B452)*SIN((A452+INDEX(Drivers!$F$8:$F$13,B452)+Control!$B$16)*Control!$B$14))*INDEX(TrackMap!$M$8:$M$141,MOD(INT(D452)-1,Control!$B$7)+1)*IF(E452="BOOST",Control!$B$12,1)))</x:f>
        <x:v>4.150679855013483</x:v>
      </x:c>
      <x:c r="G452" s="83" t="n">
        <x:f>IF(A452=0,D452,MIN(Control!$B$17,D452+F452))</x:f>
        <x:v>260.4924212106089</x:v>
      </x:c>
      <x:c r="H452" s="73" t="n">
        <x:f>MOD(INT(G452)-1,Control!$B$7)+1</x:f>
        <x:v>126</x:v>
      </x:c>
      <x:c r="I452" s="73" t="n">
        <x:f>MIN(Control!$B$6,MAX(1,INT(MAX(0,G452)/Control!$B$7)+1))</x:f>
        <x:v>2</x:v>
      </x:c>
      <x:c r="J452" s="73" t="n">
        <x:f>INDEX(Drivers!$H$8:$H$13,B452)</x:f>
        <x:v>1</x:v>
      </x:c>
      <x:c r="K452" s="73" t="n">
        <x:f>IF(J452=1,INDEX(TrackMap!$I$8:$I$141,H452),INDEX(TrackMap!$L$8:$L$141,H452))</x:f>
        <x:v>3125</x:v>
      </x:c>
      <x:c r="L452" s="73" t="str">
        <x:f>INDEX(TrackMap!$F$8:$F$141,H452)</x:f>
        <x:v>←</x:v>
      </x:c>
      <x:c r="M452" s="87" t="n">
        <x:f>MAX(0,G452/Control!$B$17)</x:f>
        <x:v>0.38879465852329687</x:v>
      </x:c>
      <x:c r="N452" s="73" t="n">
        <x:f>IF(N446&gt;0,N446,IF(G452&gt;=Control!$B$17,A452,0))</x:f>
        <x:v>0</x:v>
      </x:c>
      <x:c r="O452" s="91" t="n">
        <x:f>IF(N452&gt;0,Control!$B$17+Control!$B$8+1-N452,G452)-B452/100000</x:f>
        <x:v>260.4924112106089</x:v>
      </x:c>
      <x:c r="P452" s="73" t="n">
        <x:f>COUNTIF($O$452:$O$457,"&gt;"&amp;O452)+1</x:f>
        <x:v>1</x:v>
      </x:c>
      <x:c r="Q452" s="83" t="n">
        <x:f>MAX($G$452:$G$457)-G452</x:f>
        <x:v>0</x:v>
      </x:c>
      <x:c r="R452" s="73" t="str">
        <x:f>INDEX(TrackMap!$B$8:$B$141,H452)</x:f>
        <x:v>发车大直道</x:v>
      </x:c>
    </x:row>
    <x:row r="453" ht="20" customHeight="1">
      <x:c r="A453" s="73" t="n">
        <x:v>74</x:v>
      </x:c>
      <x:c r="B453" s="73" t="n">
        <x:v>2</x:v>
      </x:c>
      <x:c r="C453" s="73" t="str">
        <x:f>INDEX(Drivers!$B$8:$B$13,B453)</x:f>
        <x:v>蓝电</x:v>
      </x:c>
      <x:c r="D453" s="83" t="n">
        <x:f>G447</x:f>
        <x:v>249.8949980739</x:v>
      </x:c>
      <x:c r="E453" s="83" t="str">
        <x:f>IF(A453=0,"GRID",IF(D453&gt;=Control!$B$17,"FINISHED",IF(AND(A453&gt;=INDEX(Drivers!$G$8:$G$13,B453),A453&lt;INDEX(Drivers!$G$8:$G$13,B453)+INDEX(Drivers!$J$8:$J$13,B453)),"PIT",IF(MOD(A453+INDEX(Drivers!$F$8:$F$13,B453),Control!$B$11)&lt;Control!$B$13,"BOOST","RACE"))))</x:f>
        <x:v>RACE</x:v>
      </x:c>
      <x:c r="F453" s="83" t="n">
        <x:f>IF(OR(E453="GRID",E453="FINISHED",E453="PIT"),0,MAX(Control!$B$15,(INDEX(Drivers!$D$8:$D$13,B453)+INDEX(Drivers!$E$8:$E$13,B453)*SIN((A453+INDEX(Drivers!$F$8:$F$13,B453)+Control!$B$16)*Control!$B$14))*INDEX(TrackMap!$M$8:$M$141,MOD(INT(D453)-1,Control!$B$7)+1)*IF(E453="BOOST",Control!$B$12,1)))</x:f>
        <x:v>3.244947570921362</x:v>
      </x:c>
      <x:c r="G453" s="83" t="n">
        <x:f>IF(A453=0,D453,MIN(Control!$B$17,D453+F453))</x:f>
        <x:v>253.13994564482138</x:v>
      </x:c>
      <x:c r="H453" s="73" t="n">
        <x:f>MOD(INT(G453)-1,Control!$B$7)+1</x:f>
        <x:v>119</x:v>
      </x:c>
      <x:c r="I453" s="73" t="n">
        <x:f>MIN(Control!$B$6,MAX(1,INT(MAX(0,G453)/Control!$B$7)+1))</x:f>
        <x:v>2</x:v>
      </x:c>
      <x:c r="J453" s="73" t="n">
        <x:f>INDEX(Drivers!$H$8:$H$13,B453)</x:f>
        <x:v>2</x:v>
      </x:c>
      <x:c r="K453" s="73" t="n">
        <x:f>IF(J453=1,INDEX(TrackMap!$I$8:$I$141,H453),INDEX(TrackMap!$L$8:$L$141,H453))</x:f>
        <x:v>3032</x:v>
      </x:c>
      <x:c r="L453" s="73" t="str">
        <x:f>INDEX(TrackMap!$F$8:$F$141,H453)</x:f>
        <x:v>←</x:v>
      </x:c>
      <x:c r="M453" s="87" t="n">
        <x:f>MAX(0,G453/Control!$B$17)</x:f>
        <x:v>0.3778208143952558</x:v>
      </x:c>
      <x:c r="N453" s="73" t="n">
        <x:f>IF(N447&gt;0,N447,IF(G453&gt;=Control!$B$17,A453,0))</x:f>
        <x:v>0</x:v>
      </x:c>
      <x:c r="O453" s="91" t="n">
        <x:f>IF(N453&gt;0,Control!$B$17+Control!$B$8+1-N453,G453)-B453/100000</x:f>
        <x:v>253.13992564482137</x:v>
      </x:c>
      <x:c r="P453" s="73" t="n">
        <x:f>COUNTIF($O$452:$O$457,"&gt;"&amp;O453)+1</x:f>
        <x:v>4</x:v>
      </x:c>
      <x:c r="Q453" s="83" t="n">
        <x:f>MAX($G$452:$G$457)-G453</x:f>
        <x:v>7.3524755657875005</x:v>
      </x:c>
      <x:c r="R453" s="73" t="str">
        <x:f>INDEX(TrackMap!$B$8:$B$141,H453)</x:f>
        <x:v>发车大直道</x:v>
      </x:c>
    </x:row>
    <x:row r="454" ht="20" customHeight="1">
      <x:c r="A454" s="73" t="n">
        <x:v>74</x:v>
      </x:c>
      <x:c r="B454" s="73" t="n">
        <x:v>3</x:v>
      </x:c>
      <x:c r="C454" s="73" t="str">
        <x:f>INDEX(Drivers!$B$8:$B$13,B454)</x:f>
        <x:v>金翼</x:v>
      </x:c>
      <x:c r="D454" s="83" t="n">
        <x:f>G448</x:f>
        <x:v>249.47522008306368</x:v>
      </x:c>
      <x:c r="E454" s="83" t="str">
        <x:f>IF(A454=0,"GRID",IF(D454&gt;=Control!$B$17,"FINISHED",IF(AND(A454&gt;=INDEX(Drivers!$G$8:$G$13,B454),A454&lt;INDEX(Drivers!$G$8:$G$13,B454)+INDEX(Drivers!$J$8:$J$13,B454)),"PIT",IF(MOD(A454+INDEX(Drivers!$F$8:$F$13,B454),Control!$B$11)&lt;Control!$B$13,"BOOST","RACE"))))</x:f>
        <x:v>RACE</x:v>
      </x:c>
      <x:c r="F454" s="83" t="n">
        <x:f>IF(OR(E454="GRID",E454="FINISHED",E454="PIT"),0,MAX(Control!$B$15,(INDEX(Drivers!$D$8:$D$13,B454)+INDEX(Drivers!$E$8:$E$13,B454)*SIN((A454+INDEX(Drivers!$F$8:$F$13,B454)+Control!$B$16)*Control!$B$14))*INDEX(TrackMap!$M$8:$M$141,MOD(INT(D454)-1,Control!$B$7)+1)*IF(E454="BOOST",Control!$B$12,1)))</x:f>
        <x:v>3.720438382394696</x:v>
      </x:c>
      <x:c r="G454" s="83" t="n">
        <x:f>IF(A454=0,D454,MIN(Control!$B$17,D454+F454))</x:f>
        <x:v>253.19565846545837</x:v>
      </x:c>
      <x:c r="H454" s="73" t="n">
        <x:f>MOD(INT(G454)-1,Control!$B$7)+1</x:f>
        <x:v>119</x:v>
      </x:c>
      <x:c r="I454" s="73" t="n">
        <x:f>MIN(Control!$B$6,MAX(1,INT(MAX(0,G454)/Control!$B$7)+1))</x:f>
        <x:v>2</x:v>
      </x:c>
      <x:c r="J454" s="73" t="n">
        <x:f>INDEX(Drivers!$H$8:$H$13,B454)</x:f>
        <x:v>1</x:v>
      </x:c>
      <x:c r="K454" s="73" t="n">
        <x:f>IF(J454=1,INDEX(TrackMap!$I$8:$I$141,H454),INDEX(TrackMap!$L$8:$L$141,H454))</x:f>
        <x:v>3132</x:v>
      </x:c>
      <x:c r="L454" s="73" t="str">
        <x:f>INDEX(TrackMap!$F$8:$F$141,H454)</x:f>
        <x:v>←</x:v>
      </x:c>
      <x:c r="M454" s="87" t="n">
        <x:f>MAX(0,G454/Control!$B$17)</x:f>
        <x:v>0.3779039678588931</x:v>
      </x:c>
      <x:c r="N454" s="73" t="n">
        <x:f>IF(N448&gt;0,N448,IF(G454&gt;=Control!$B$17,A454,0))</x:f>
        <x:v>0</x:v>
      </x:c>
      <x:c r="O454" s="91" t="n">
        <x:f>IF(N454&gt;0,Control!$B$17+Control!$B$8+1-N454,G454)-B454/100000</x:f>
        <x:v>253.19562846545836</x:v>
      </x:c>
      <x:c r="P454" s="73" t="n">
        <x:f>COUNTIF($O$452:$O$457,"&gt;"&amp;O454)+1</x:f>
        <x:v>3</x:v>
      </x:c>
      <x:c r="Q454" s="83" t="n">
        <x:f>MAX($G$452:$G$457)-G454</x:f>
        <x:v>7.296762745150517</x:v>
      </x:c>
      <x:c r="R454" s="73" t="str">
        <x:f>INDEX(TrackMap!$B$8:$B$141,H454)</x:f>
        <x:v>发车大直道</x:v>
      </x:c>
    </x:row>
    <x:row r="455" ht="20" customHeight="1">
      <x:c r="A455" s="73" t="n">
        <x:v>74</x:v>
      </x:c>
      <x:c r="B455" s="73" t="n">
        <x:v>4</x:v>
      </x:c>
      <x:c r="C455" s="73" t="str">
        <x:f>INDEX(Drivers!$B$8:$B$13,B455)</x:f>
        <x:v>紫影</x:v>
      </x:c>
      <x:c r="D455" s="83" t="n">
        <x:f>G449</x:f>
        <x:v>255.19872039606784</x:v>
      </x:c>
      <x:c r="E455" s="83" t="str">
        <x:f>IF(A455=0,"GRID",IF(D455&gt;=Control!$B$17,"FINISHED",IF(AND(A455&gt;=INDEX(Drivers!$G$8:$G$13,B455),A455&lt;INDEX(Drivers!$G$8:$G$13,B455)+INDEX(Drivers!$J$8:$J$13,B455)),"PIT",IF(MOD(A455+INDEX(Drivers!$F$8:$F$13,B455),Control!$B$11)&lt;Control!$B$13,"BOOST","RACE"))))</x:f>
        <x:v>RACE</x:v>
      </x:c>
      <x:c r="F455" s="83" t="n">
        <x:f>IF(OR(E455="GRID",E455="FINISHED",E455="PIT"),0,MAX(Control!$B$15,(INDEX(Drivers!$D$8:$D$13,B455)+INDEX(Drivers!$E$8:$E$13,B455)*SIN((A455+INDEX(Drivers!$F$8:$F$13,B455)+Control!$B$16)*Control!$B$14))*INDEX(TrackMap!$M$8:$M$141,MOD(INT(D455)-1,Control!$B$7)+1)*IF(E455="BOOST",Control!$B$12,1)))</x:f>
        <x:v>3.8834993433447926</x:v>
      </x:c>
      <x:c r="G455" s="83" t="n">
        <x:f>IF(A455=0,D455,MIN(Control!$B$17,D455+F455))</x:f>
        <x:v>259.0822197394126</x:v>
      </x:c>
      <x:c r="H455" s="73" t="n">
        <x:f>MOD(INT(G455)-1,Control!$B$7)+1</x:f>
        <x:v>125</x:v>
      </x:c>
      <x:c r="I455" s="73" t="n">
        <x:f>MIN(Control!$B$6,MAX(1,INT(MAX(0,G455)/Control!$B$7)+1))</x:f>
        <x:v>2</x:v>
      </x:c>
      <x:c r="J455" s="73" t="n">
        <x:f>INDEX(Drivers!$H$8:$H$13,B455)</x:f>
        <x:v>2</x:v>
      </x:c>
      <x:c r="K455" s="73" t="n">
        <x:f>IF(J455=1,INDEX(TrackMap!$I$8:$I$141,H455),INDEX(TrackMap!$L$8:$L$141,H455))</x:f>
        <x:v>3026</x:v>
      </x:c>
      <x:c r="L455" s="73" t="str">
        <x:f>INDEX(TrackMap!$F$8:$F$141,H455)</x:f>
        <x:v>←</x:v>
      </x:c>
      <x:c r="M455" s="87" t="n">
        <x:f>MAX(0,G455/Control!$B$17)</x:f>
        <x:v>0.38668988020807854</x:v>
      </x:c>
      <x:c r="N455" s="73" t="n">
        <x:f>IF(N449&gt;0,N449,IF(G455&gt;=Control!$B$17,A455,0))</x:f>
        <x:v>0</x:v>
      </x:c>
      <x:c r="O455" s="91" t="n">
        <x:f>IF(N455&gt;0,Control!$B$17+Control!$B$8+1-N455,G455)-B455/100000</x:f>
        <x:v>259.0821797394126</x:v>
      </x:c>
      <x:c r="P455" s="73" t="n">
        <x:f>COUNTIF($O$452:$O$457,"&gt;"&amp;O455)+1</x:f>
        <x:v>2</x:v>
      </x:c>
      <x:c r="Q455" s="83" t="n">
        <x:f>MAX($G$452:$G$457)-G455</x:f>
        <x:v>1.4102014711962738</x:v>
      </x:c>
      <x:c r="R455" s="73" t="str">
        <x:f>INDEX(TrackMap!$B$8:$B$141,H455)</x:f>
        <x:v>发车大直道</x:v>
      </x:c>
    </x:row>
    <x:row r="456" ht="20" customHeight="1">
      <x:c r="A456" s="73" t="n">
        <x:v>74</x:v>
      </x:c>
      <x:c r="B456" s="73" t="n">
        <x:v>5</x:v>
      </x:c>
      <x:c r="C456" s="73" t="str">
        <x:f>INDEX(Drivers!$B$8:$B$13,B456)</x:f>
        <x:v>青锋</x:v>
      </x:c>
      <x:c r="D456" s="83" t="n">
        <x:f>G450</x:f>
        <x:v>247.35491391198283</x:v>
      </x:c>
      <x:c r="E456" s="83" t="str">
        <x:f>IF(A456=0,"GRID",IF(D456&gt;=Control!$B$17,"FINISHED",IF(AND(A456&gt;=INDEX(Drivers!$G$8:$G$13,B456),A456&lt;INDEX(Drivers!$G$8:$G$13,B456)+INDEX(Drivers!$J$8:$J$13,B456)),"PIT",IF(MOD(A456+INDEX(Drivers!$F$8:$F$13,B456),Control!$B$11)&lt;Control!$B$13,"BOOST","RACE"))))</x:f>
        <x:v>RACE</x:v>
      </x:c>
      <x:c r="F456" s="83" t="n">
        <x:f>IF(OR(E456="GRID",E456="FINISHED",E456="PIT"),0,MAX(Control!$B$15,(INDEX(Drivers!$D$8:$D$13,B456)+INDEX(Drivers!$E$8:$E$13,B456)*SIN((A456+INDEX(Drivers!$F$8:$F$13,B456)+Control!$B$16)*Control!$B$14))*INDEX(TrackMap!$M$8:$M$141,MOD(INT(D456)-1,Control!$B$7)+1)*IF(E456="BOOST",Control!$B$12,1)))</x:f>
        <x:v>3.887257372374288</x:v>
      </x:c>
      <x:c r="G456" s="83" t="n">
        <x:f>IF(A456=0,D456,MIN(Control!$B$17,D456+F456))</x:f>
        <x:v>251.2421712843571</x:v>
      </x:c>
      <x:c r="H456" s="73" t="n">
        <x:f>MOD(INT(G456)-1,Control!$B$7)+1</x:f>
        <x:v>117</x:v>
      </x:c>
      <x:c r="I456" s="73" t="n">
        <x:f>MIN(Control!$B$6,MAX(1,INT(MAX(0,G456)/Control!$B$7)+1))</x:f>
        <x:v>2</x:v>
      </x:c>
      <x:c r="J456" s="73" t="n">
        <x:f>INDEX(Drivers!$H$8:$H$13,B456)</x:f>
        <x:v>1</x:v>
      </x:c>
      <x:c r="K456" s="73" t="n">
        <x:f>IF(J456=1,INDEX(TrackMap!$I$8:$I$141,H456),INDEX(TrackMap!$L$8:$L$141,H456))</x:f>
        <x:v>3134</x:v>
      </x:c>
      <x:c r="L456" s="73" t="str">
        <x:f>INDEX(TrackMap!$F$8:$F$141,H456)</x:f>
        <x:v>←</x:v>
      </x:c>
      <x:c r="M456" s="87" t="n">
        <x:f>MAX(0,G456/Control!$B$17)</x:f>
        <x:v>0.3749883153497867</x:v>
      </x:c>
      <x:c r="N456" s="73" t="n">
        <x:f>IF(N450&gt;0,N450,IF(G456&gt;=Control!$B$17,A456,0))</x:f>
        <x:v>0</x:v>
      </x:c>
      <x:c r="O456" s="91" t="n">
        <x:f>IF(N456&gt;0,Control!$B$17+Control!$B$8+1-N456,G456)-B456/100000</x:f>
        <x:v>251.24212128435713</x:v>
      </x:c>
      <x:c r="P456" s="73" t="n">
        <x:f>COUNTIF($O$452:$O$457,"&gt;"&amp;O456)+1</x:f>
        <x:v>5</x:v>
      </x:c>
      <x:c r="Q456" s="83" t="n">
        <x:f>MAX($G$452:$G$457)-G456</x:f>
        <x:v>9.250249926251769</x:v>
      </x:c>
      <x:c r="R456" s="73" t="str">
        <x:f>INDEX(TrackMap!$B$8:$B$141,H456)</x:f>
        <x:v>发车大直道</x:v>
      </x:c>
    </x:row>
    <x:row r="457" ht="20" customHeight="1">
      <x:c r="A457" s="73" t="n">
        <x:v>74</x:v>
      </x:c>
      <x:c r="B457" s="73" t="n">
        <x:v>6</x:v>
      </x:c>
      <x:c r="C457" s="73" t="str">
        <x:f>INDEX(Drivers!$B$8:$B$13,B457)</x:f>
        <x:v>玫速</x:v>
      </x:c>
      <x:c r="D457" s="83" t="n">
        <x:f>G451</x:f>
        <x:v>245.5083795760227</x:v>
      </x:c>
      <x:c r="E457" s="83" t="str">
        <x:f>IF(A457=0,"GRID",IF(D457&gt;=Control!$B$17,"FINISHED",IF(AND(A457&gt;=INDEX(Drivers!$G$8:$G$13,B457),A457&lt;INDEX(Drivers!$G$8:$G$13,B457)+INDEX(Drivers!$J$8:$J$13,B457)),"PIT",IF(MOD(A457+INDEX(Drivers!$F$8:$F$13,B457),Control!$B$11)&lt;Control!$B$13,"BOOST","RACE"))))</x:f>
        <x:v>RACE</x:v>
      </x:c>
      <x:c r="F457" s="83" t="n">
        <x:f>IF(OR(E457="GRID",E457="FINISHED",E457="PIT"),0,MAX(Control!$B$15,(INDEX(Drivers!$D$8:$D$13,B457)+INDEX(Drivers!$E$8:$E$13,B457)*SIN((A457+INDEX(Drivers!$F$8:$F$13,B457)+Control!$B$16)*Control!$B$14))*INDEX(TrackMap!$M$8:$M$141,MOD(INT(D457)-1,Control!$B$7)+1)*IF(E457="BOOST",Control!$B$12,1)))</x:f>
        <x:v>3.1539357603828444</x:v>
      </x:c>
      <x:c r="G457" s="83" t="n">
        <x:f>IF(A457=0,D457,MIN(Control!$B$17,D457+F457))</x:f>
        <x:v>248.66231533640553</x:v>
      </x:c>
      <x:c r="H457" s="73" t="n">
        <x:f>MOD(INT(G457)-1,Control!$B$7)+1</x:f>
        <x:v>114</x:v>
      </x:c>
      <x:c r="I457" s="73" t="n">
        <x:f>MIN(Control!$B$6,MAX(1,INT(MAX(0,G457)/Control!$B$7)+1))</x:f>
        <x:v>2</x:v>
      </x:c>
      <x:c r="J457" s="73" t="n">
        <x:f>INDEX(Drivers!$H$8:$H$13,B457)</x:f>
        <x:v>2</x:v>
      </x:c>
      <x:c r="K457" s="73" t="n">
        <x:f>IF(J457=1,INDEX(TrackMap!$I$8:$I$141,H457),INDEX(TrackMap!$L$8:$L$141,H457))</x:f>
        <x:v>3037</x:v>
      </x:c>
      <x:c r="L457" s="73" t="str">
        <x:f>INDEX(TrackMap!$F$8:$F$141,H457)</x:f>
        <x:v>←</x:v>
      </x:c>
      <x:c r="M457" s="87" t="n">
        <x:f>MAX(0,G457/Control!$B$17)</x:f>
        <x:v>0.37113778408418735</x:v>
      </x:c>
      <x:c r="N457" s="73" t="n">
        <x:f>IF(N451&gt;0,N451,IF(G457&gt;=Control!$B$17,A457,0))</x:f>
        <x:v>0</x:v>
      </x:c>
      <x:c r="O457" s="91" t="n">
        <x:f>IF(N457&gt;0,Control!$B$17+Control!$B$8+1-N457,G457)-B457/100000</x:f>
        <x:v>248.66225533640554</x:v>
      </x:c>
      <x:c r="P457" s="73" t="n">
        <x:f>COUNTIF($O$452:$O$457,"&gt;"&amp;O457)+1</x:f>
        <x:v>6</x:v>
      </x:c>
      <x:c r="Q457" s="83" t="n">
        <x:f>MAX($G$452:$G$457)-G457</x:f>
        <x:v>11.830105874203355</x:v>
      </x:c>
      <x:c r="R457" s="73" t="str">
        <x:f>INDEX(TrackMap!$B$8:$B$141,H457)</x:f>
        <x:v>发车大直道</x:v>
      </x:c>
    </x:row>
    <x:row r="458" ht="20" customHeight="1">
      <x:c r="A458" s="73" t="n">
        <x:v>75</x:v>
      </x:c>
      <x:c r="B458" s="73" t="n">
        <x:v>1</x:v>
      </x:c>
      <x:c r="C458" s="73" t="str">
        <x:f>INDEX(Drivers!$B$8:$B$13,B458)</x:f>
        <x:v>赤焰</x:v>
      </x:c>
      <x:c r="D458" s="83" t="n">
        <x:f>G452</x:f>
        <x:v>260.4924212106089</x:v>
      </x:c>
      <x:c r="E458" s="83" t="str">
        <x:f>IF(A458=0,"GRID",IF(D458&gt;=Control!$B$17,"FINISHED",IF(AND(A458&gt;=INDEX(Drivers!$G$8:$G$13,B458),A458&lt;INDEX(Drivers!$G$8:$G$13,B458)+INDEX(Drivers!$J$8:$J$13,B458)),"PIT",IF(MOD(A458+INDEX(Drivers!$F$8:$F$13,B458),Control!$B$11)&lt;Control!$B$13,"BOOST","RACE"))))</x:f>
        <x:v>RACE</x:v>
      </x:c>
      <x:c r="F458" s="83" t="n">
        <x:f>IF(OR(E458="GRID",E458="FINISHED",E458="PIT"),0,MAX(Control!$B$15,(INDEX(Drivers!$D$8:$D$13,B458)+INDEX(Drivers!$E$8:$E$13,B458)*SIN((A458+INDEX(Drivers!$F$8:$F$13,B458)+Control!$B$16)*Control!$B$14))*INDEX(TrackMap!$M$8:$M$141,MOD(INT(D458)-1,Control!$B$7)+1)*IF(E458="BOOST",Control!$B$12,1)))</x:f>
        <x:v>4.199115429345605</x:v>
      </x:c>
      <x:c r="G458" s="83" t="n">
        <x:f>IF(A458=0,D458,MIN(Control!$B$17,D458+F458))</x:f>
        <x:v>264.6915366399545</x:v>
      </x:c>
      <x:c r="H458" s="73" t="n">
        <x:f>MOD(INT(G458)-1,Control!$B$7)+1</x:f>
        <x:v>130</x:v>
      </x:c>
      <x:c r="I458" s="73" t="n">
        <x:f>MIN(Control!$B$6,MAX(1,INT(MAX(0,G458)/Control!$B$7)+1))</x:f>
        <x:v>2</x:v>
      </x:c>
      <x:c r="J458" s="73" t="n">
        <x:f>INDEX(Drivers!$H$8:$H$13,B458)</x:f>
        <x:v>1</x:v>
      </x:c>
      <x:c r="K458" s="73" t="n">
        <x:f>IF(J458=1,INDEX(TrackMap!$I$8:$I$141,H458),INDEX(TrackMap!$L$8:$L$141,H458))</x:f>
        <x:v>3121</x:v>
      </x:c>
      <x:c r="L458" s="73" t="str">
        <x:f>INDEX(TrackMap!$F$8:$F$141,H458)</x:f>
        <x:v>←</x:v>
      </x:c>
      <x:c r="M458" s="87" t="n">
        <x:f>MAX(0,G458/Control!$B$17)</x:f>
        <x:v>0.3950619949850067</x:v>
      </x:c>
      <x:c r="N458" s="73" t="n">
        <x:f>IF(N452&gt;0,N452,IF(G458&gt;=Control!$B$17,A458,0))</x:f>
        <x:v>0</x:v>
      </x:c>
      <x:c r="O458" s="91" t="n">
        <x:f>IF(N458&gt;0,Control!$B$17+Control!$B$8+1-N458,G458)-B458/100000</x:f>
        <x:v>264.69152663995453</x:v>
      </x:c>
      <x:c r="P458" s="73" t="n">
        <x:f>COUNTIF($O$458:$O$463,"&gt;"&amp;O458)+1</x:f>
        <x:v>1</x:v>
      </x:c>
      <x:c r="Q458" s="83" t="n">
        <x:f>MAX($G$458:$G$463)-G458</x:f>
        <x:v>0</x:v>
      </x:c>
      <x:c r="R458" s="73" t="str">
        <x:f>INDEX(TrackMap!$B$8:$B$141,H458)</x:f>
        <x:v>发车大直道</x:v>
      </x:c>
    </x:row>
    <x:row r="459" ht="20" customHeight="1">
      <x:c r="A459" s="73" t="n">
        <x:v>75</x:v>
      </x:c>
      <x:c r="B459" s="73" t="n">
        <x:v>2</x:v>
      </x:c>
      <x:c r="C459" s="73" t="str">
        <x:f>INDEX(Drivers!$B$8:$B$13,B459)</x:f>
        <x:v>蓝电</x:v>
      </x:c>
      <x:c r="D459" s="83" t="n">
        <x:f>G453</x:f>
        <x:v>253.13994564482138</x:v>
      </x:c>
      <x:c r="E459" s="83" t="str">
        <x:f>IF(A459=0,"GRID",IF(D459&gt;=Control!$B$17,"FINISHED",IF(AND(A459&gt;=INDEX(Drivers!$G$8:$G$13,B459),A459&lt;INDEX(Drivers!$G$8:$G$13,B459)+INDEX(Drivers!$J$8:$J$13,B459)),"PIT",IF(MOD(A459+INDEX(Drivers!$F$8:$F$13,B459),Control!$B$11)&lt;Control!$B$13,"BOOST","RACE"))))</x:f>
        <x:v>RACE</x:v>
      </x:c>
      <x:c r="F459" s="83" t="n">
        <x:f>IF(OR(E459="GRID",E459="FINISHED",E459="PIT"),0,MAX(Control!$B$15,(INDEX(Drivers!$D$8:$D$13,B459)+INDEX(Drivers!$E$8:$E$13,B459)*SIN((A459+INDEX(Drivers!$F$8:$F$13,B459)+Control!$B$16)*Control!$B$14))*INDEX(TrackMap!$M$8:$M$141,MOD(INT(D459)-1,Control!$B$7)+1)*IF(E459="BOOST",Control!$B$12,1)))</x:f>
        <x:v>3.087632895742893</x:v>
      </x:c>
      <x:c r="G459" s="83" t="n">
        <x:f>IF(A459=0,D459,MIN(Control!$B$17,D459+F459))</x:f>
        <x:v>256.22757854056425</x:v>
      </x:c>
      <x:c r="H459" s="73" t="n">
        <x:f>MOD(INT(G459)-1,Control!$B$7)+1</x:f>
        <x:v>122</x:v>
      </x:c>
      <x:c r="I459" s="73" t="n">
        <x:f>MIN(Control!$B$6,MAX(1,INT(MAX(0,G459)/Control!$B$7)+1))</x:f>
        <x:v>2</x:v>
      </x:c>
      <x:c r="J459" s="73" t="n">
        <x:f>INDEX(Drivers!$H$8:$H$13,B459)</x:f>
        <x:v>2</x:v>
      </x:c>
      <x:c r="K459" s="73" t="n">
        <x:f>IF(J459=1,INDEX(TrackMap!$I$8:$I$141,H459),INDEX(TrackMap!$L$8:$L$141,H459))</x:f>
        <x:v>3029</x:v>
      </x:c>
      <x:c r="L459" s="73" t="str">
        <x:f>INDEX(TrackMap!$F$8:$F$141,H459)</x:f>
        <x:v>←</x:v>
      </x:c>
      <x:c r="M459" s="87" t="n">
        <x:f>MAX(0,G459/Control!$B$17)</x:f>
        <x:v>0.38242922170233473</x:v>
      </x:c>
      <x:c r="N459" s="73" t="n">
        <x:f>IF(N453&gt;0,N453,IF(G459&gt;=Control!$B$17,A459,0))</x:f>
        <x:v>0</x:v>
      </x:c>
      <x:c r="O459" s="91" t="n">
        <x:f>IF(N459&gt;0,Control!$B$17+Control!$B$8+1-N459,G459)-B459/100000</x:f>
        <x:v>256.22755854056425</x:v>
      </x:c>
      <x:c r="P459" s="73" t="n">
        <x:f>COUNTIF($O$458:$O$463,"&gt;"&amp;O459)+1</x:f>
        <x:v>4</x:v>
      </x:c>
      <x:c r="Q459" s="83" t="n">
        <x:f>MAX($G$458:$G$463)-G459</x:f>
        <x:v>8.463958099390254</x:v>
      </x:c>
      <x:c r="R459" s="73" t="str">
        <x:f>INDEX(TrackMap!$B$8:$B$141,H459)</x:f>
        <x:v>发车大直道</x:v>
      </x:c>
    </x:row>
    <x:row r="460" ht="20" customHeight="1">
      <x:c r="A460" s="73" t="n">
        <x:v>75</x:v>
      </x:c>
      <x:c r="B460" s="73" t="n">
        <x:v>3</x:v>
      </x:c>
      <x:c r="C460" s="73" t="str">
        <x:f>INDEX(Drivers!$B$8:$B$13,B460)</x:f>
        <x:v>金翼</x:v>
      </x:c>
      <x:c r="D460" s="83" t="n">
        <x:f>G454</x:f>
        <x:v>253.19565846545837</x:v>
      </x:c>
      <x:c r="E460" s="83" t="str">
        <x:f>IF(A460=0,"GRID",IF(D460&gt;=Control!$B$17,"FINISHED",IF(AND(A460&gt;=INDEX(Drivers!$G$8:$G$13,B460),A460&lt;INDEX(Drivers!$G$8:$G$13,B460)+INDEX(Drivers!$J$8:$J$13,B460)),"PIT",IF(MOD(A460+INDEX(Drivers!$F$8:$F$13,B460),Control!$B$11)&lt;Control!$B$13,"BOOST","RACE"))))</x:f>
        <x:v>RACE</x:v>
      </x:c>
      <x:c r="F460" s="83" t="n">
        <x:f>IF(OR(E460="GRID",E460="FINISHED",E460="PIT"),0,MAX(Control!$B$15,(INDEX(Drivers!$D$8:$D$13,B460)+INDEX(Drivers!$E$8:$E$13,B460)*SIN((A460+INDEX(Drivers!$F$8:$F$13,B460)+Control!$B$16)*Control!$B$14))*INDEX(TrackMap!$M$8:$M$141,MOD(INT(D460)-1,Control!$B$7)+1)*IF(E460="BOOST",Control!$B$12,1)))</x:f>
        <x:v>3.899711858934417</x:v>
      </x:c>
      <x:c r="G460" s="83" t="n">
        <x:f>IF(A460=0,D460,MIN(Control!$B$17,D460+F460))</x:f>
        <x:v>257.0953703243928</x:v>
      </x:c>
      <x:c r="H460" s="73" t="n">
        <x:f>MOD(INT(G460)-1,Control!$B$7)+1</x:f>
        <x:v>123</x:v>
      </x:c>
      <x:c r="I460" s="73" t="n">
        <x:f>MIN(Control!$B$6,MAX(1,INT(MAX(0,G460)/Control!$B$7)+1))</x:f>
        <x:v>2</x:v>
      </x:c>
      <x:c r="J460" s="73" t="n">
        <x:f>INDEX(Drivers!$H$8:$H$13,B460)</x:f>
        <x:v>1</x:v>
      </x:c>
      <x:c r="K460" s="73" t="n">
        <x:f>IF(J460=1,INDEX(TrackMap!$I$8:$I$141,H460),INDEX(TrackMap!$L$8:$L$141,H460))</x:f>
        <x:v>3128</x:v>
      </x:c>
      <x:c r="L460" s="73" t="str">
        <x:f>INDEX(TrackMap!$F$8:$F$141,H460)</x:f>
        <x:v>←</x:v>
      </x:c>
      <x:c r="M460" s="87" t="n">
        <x:f>MAX(0,G460/Control!$B$17)</x:f>
        <x:v>0.38372443331998923</x:v>
      </x:c>
      <x:c r="N460" s="73" t="n">
        <x:f>IF(N454&gt;0,N454,IF(G460&gt;=Control!$B$17,A460,0))</x:f>
        <x:v>0</x:v>
      </x:c>
      <x:c r="O460" s="91" t="n">
        <x:f>IF(N460&gt;0,Control!$B$17+Control!$B$8+1-N460,G460)-B460/100000</x:f>
        <x:v>257.0953403243928</x:v>
      </x:c>
      <x:c r="P460" s="73" t="n">
        <x:f>COUNTIF($O$458:$O$463,"&gt;"&amp;O460)+1</x:f>
        <x:v>3</x:v>
      </x:c>
      <x:c r="Q460" s="83" t="n">
        <x:f>MAX($G$458:$G$463)-G460</x:f>
        <x:v>7.596166315561732</x:v>
      </x:c>
      <x:c r="R460" s="73" t="str">
        <x:f>INDEX(TrackMap!$B$8:$B$141,H460)</x:f>
        <x:v>发车大直道</x:v>
      </x:c>
    </x:row>
    <x:row r="461" ht="20" customHeight="1">
      <x:c r="A461" s="73" t="n">
        <x:v>75</x:v>
      </x:c>
      <x:c r="B461" s="73" t="n">
        <x:v>4</x:v>
      </x:c>
      <x:c r="C461" s="73" t="str">
        <x:f>INDEX(Drivers!$B$8:$B$13,B461)</x:f>
        <x:v>紫影</x:v>
      </x:c>
      <x:c r="D461" s="83" t="n">
        <x:f>G455</x:f>
        <x:v>259.0822197394126</x:v>
      </x:c>
      <x:c r="E461" s="83" t="str">
        <x:f>IF(A461=0,"GRID",IF(D461&gt;=Control!$B$17,"FINISHED",IF(AND(A461&gt;=INDEX(Drivers!$G$8:$G$13,B461),A461&lt;INDEX(Drivers!$G$8:$G$13,B461)+INDEX(Drivers!$J$8:$J$13,B461)),"PIT",IF(MOD(A461+INDEX(Drivers!$F$8:$F$13,B461),Control!$B$11)&lt;Control!$B$13,"BOOST","RACE"))))</x:f>
        <x:v>RACE</x:v>
      </x:c>
      <x:c r="F461" s="83" t="n">
        <x:f>IF(OR(E461="GRID",E461="FINISHED",E461="PIT"),0,MAX(Control!$B$15,(INDEX(Drivers!$D$8:$D$13,B461)+INDEX(Drivers!$E$8:$E$13,B461)*SIN((A461+INDEX(Drivers!$F$8:$F$13,B461)+Control!$B$16)*Control!$B$14))*INDEX(TrackMap!$M$8:$M$141,MOD(INT(D461)-1,Control!$B$7)+1)*IF(E461="BOOST",Control!$B$12,1)))</x:f>
        <x:v>3.6813395966197016</x:v>
      </x:c>
      <x:c r="G461" s="83" t="n">
        <x:f>IF(A461=0,D461,MIN(Control!$B$17,D461+F461))</x:f>
        <x:v>262.7635593360323</x:v>
      </x:c>
      <x:c r="H461" s="73" t="n">
        <x:f>MOD(INT(G461)-1,Control!$B$7)+1</x:f>
        <x:v>128</x:v>
      </x:c>
      <x:c r="I461" s="73" t="n">
        <x:f>MIN(Control!$B$6,MAX(1,INT(MAX(0,G461)/Control!$B$7)+1))</x:f>
        <x:v>2</x:v>
      </x:c>
      <x:c r="J461" s="73" t="n">
        <x:f>INDEX(Drivers!$H$8:$H$13,B461)</x:f>
        <x:v>2</x:v>
      </x:c>
      <x:c r="K461" s="73" t="n">
        <x:f>IF(J461=1,INDEX(TrackMap!$I$8:$I$141,H461),INDEX(TrackMap!$L$8:$L$141,H461))</x:f>
        <x:v>3023</x:v>
      </x:c>
      <x:c r="L461" s="73" t="str">
        <x:f>INDEX(TrackMap!$F$8:$F$141,H461)</x:f>
        <x:v>←</x:v>
      </x:c>
      <x:c r="M461" s="87" t="n">
        <x:f>MAX(0,G461/Control!$B$17)</x:f>
        <x:v>0.3921844169194512</x:v>
      </x:c>
      <x:c r="N461" s="73" t="n">
        <x:f>IF(N455&gt;0,N455,IF(G461&gt;=Control!$B$17,A461,0))</x:f>
        <x:v>0</x:v>
      </x:c>
      <x:c r="O461" s="91" t="n">
        <x:f>IF(N461&gt;0,Control!$B$17+Control!$B$8+1-N461,G461)-B461/100000</x:f>
        <x:v>262.7635193360323</x:v>
      </x:c>
      <x:c r="P461" s="73" t="n">
        <x:f>COUNTIF($O$458:$O$463,"&gt;"&amp;O461)+1</x:f>
        <x:v>2</x:v>
      </x:c>
      <x:c r="Q461" s="83" t="n">
        <x:f>MAX($G$458:$G$463)-G461</x:f>
        <x:v>1.927977303922205</x:v>
      </x:c>
      <x:c r="R461" s="73" t="str">
        <x:f>INDEX(TrackMap!$B$8:$B$141,H461)</x:f>
        <x:v>发车大直道</x:v>
      </x:c>
    </x:row>
    <x:row r="462" ht="20" customHeight="1">
      <x:c r="A462" s="73" t="n">
        <x:v>75</x:v>
      </x:c>
      <x:c r="B462" s="73" t="n">
        <x:v>5</x:v>
      </x:c>
      <x:c r="C462" s="73" t="str">
        <x:f>INDEX(Drivers!$B$8:$B$13,B462)</x:f>
        <x:v>青锋</x:v>
      </x:c>
      <x:c r="D462" s="83" t="n">
        <x:f>G456</x:f>
        <x:v>251.2421712843571</x:v>
      </x:c>
      <x:c r="E462" s="83" t="str">
        <x:f>IF(A462=0,"GRID",IF(D462&gt;=Control!$B$17,"FINISHED",IF(AND(A462&gt;=INDEX(Drivers!$G$8:$G$13,B462),A462&lt;INDEX(Drivers!$G$8:$G$13,B462)+INDEX(Drivers!$J$8:$J$13,B462)),"PIT",IF(MOD(A462+INDEX(Drivers!$F$8:$F$13,B462),Control!$B$11)&lt;Control!$B$13,"BOOST","RACE"))))</x:f>
        <x:v>RACE</x:v>
      </x:c>
      <x:c r="F462" s="83" t="n">
        <x:f>IF(OR(E462="GRID",E462="FINISHED",E462="PIT"),0,MAX(Control!$B$15,(INDEX(Drivers!$D$8:$D$13,B462)+INDEX(Drivers!$E$8:$E$13,B462)*SIN((A462+INDEX(Drivers!$F$8:$F$13,B462)+Control!$B$16)*Control!$B$14))*INDEX(TrackMap!$M$8:$M$141,MOD(INT(D462)-1,Control!$B$7)+1)*IF(E462="BOOST",Control!$B$12,1)))</x:f>
        <x:v>3.7064320551555445</x:v>
      </x:c>
      <x:c r="G462" s="83" t="n">
        <x:f>IF(A462=0,D462,MIN(Control!$B$17,D462+F462))</x:f>
        <x:v>254.94860333951266</x:v>
      </x:c>
      <x:c r="H462" s="73" t="n">
        <x:f>MOD(INT(G462)-1,Control!$B$7)+1</x:f>
        <x:v>120</x:v>
      </x:c>
      <x:c r="I462" s="73" t="n">
        <x:f>MIN(Control!$B$6,MAX(1,INT(MAX(0,G462)/Control!$B$7)+1))</x:f>
        <x:v>2</x:v>
      </x:c>
      <x:c r="J462" s="73" t="n">
        <x:f>INDEX(Drivers!$H$8:$H$13,B462)</x:f>
        <x:v>1</x:v>
      </x:c>
      <x:c r="K462" s="73" t="n">
        <x:f>IF(J462=1,INDEX(TrackMap!$I$8:$I$141,H462),INDEX(TrackMap!$L$8:$L$141,H462))</x:f>
        <x:v>3131</x:v>
      </x:c>
      <x:c r="L462" s="73" t="str">
        <x:f>INDEX(TrackMap!$F$8:$F$141,H462)</x:f>
        <x:v>←</x:v>
      </x:c>
      <x:c r="M462" s="87" t="n">
        <x:f>MAX(0,G462/Control!$B$17)</x:f>
        <x:v>0.38052030349180993</x:v>
      </x:c>
      <x:c r="N462" s="73" t="n">
        <x:f>IF(N456&gt;0,N456,IF(G462&gt;=Control!$B$17,A462,0))</x:f>
        <x:v>0</x:v>
      </x:c>
      <x:c r="O462" s="91" t="n">
        <x:f>IF(N462&gt;0,Control!$B$17+Control!$B$8+1-N462,G462)-B462/100000</x:f>
        <x:v>254.94855333951267</x:v>
      </x:c>
      <x:c r="P462" s="73" t="n">
        <x:f>COUNTIF($O$458:$O$463,"&gt;"&amp;O462)+1</x:f>
        <x:v>5</x:v>
      </x:c>
      <x:c r="Q462" s="83" t="n">
        <x:f>MAX($G$458:$G$463)-G462</x:f>
        <x:v>9.742933300441848</x:v>
      </x:c>
      <x:c r="R462" s="73" t="str">
        <x:f>INDEX(TrackMap!$B$8:$B$141,H462)</x:f>
        <x:v>发车大直道</x:v>
      </x:c>
    </x:row>
    <x:row r="463" ht="20" customHeight="1">
      <x:c r="A463" s="73" t="n">
        <x:v>75</x:v>
      </x:c>
      <x:c r="B463" s="73" t="n">
        <x:v>6</x:v>
      </x:c>
      <x:c r="C463" s="73" t="str">
        <x:f>INDEX(Drivers!$B$8:$B$13,B463)</x:f>
        <x:v>玫速</x:v>
      </x:c>
      <x:c r="D463" s="83" t="n">
        <x:f>G457</x:f>
        <x:v>248.66231533640553</x:v>
      </x:c>
      <x:c r="E463" s="83" t="str">
        <x:f>IF(A463=0,"GRID",IF(D463&gt;=Control!$B$17,"FINISHED",IF(AND(A463&gt;=INDEX(Drivers!$G$8:$G$13,B463),A463&lt;INDEX(Drivers!$G$8:$G$13,B463)+INDEX(Drivers!$J$8:$J$13,B463)),"PIT",IF(MOD(A463+INDEX(Drivers!$F$8:$F$13,B463),Control!$B$11)&lt;Control!$B$13,"BOOST","RACE"))))</x:f>
        <x:v>RACE</x:v>
      </x:c>
      <x:c r="F463" s="83" t="n">
        <x:f>IF(OR(E463="GRID",E463="FINISHED",E463="PIT"),0,MAX(Control!$B$15,(INDEX(Drivers!$D$8:$D$13,B463)+INDEX(Drivers!$E$8:$E$13,B463)*SIN((A463+INDEX(Drivers!$F$8:$F$13,B463)+Control!$B$16)*Control!$B$14))*INDEX(TrackMap!$M$8:$M$141,MOD(INT(D463)-1,Control!$B$7)+1)*IF(E463="BOOST",Control!$B$12,1)))</x:f>
        <x:v>3.2938771199858006</x:v>
      </x:c>
      <x:c r="G463" s="83" t="n">
        <x:f>IF(A463=0,D463,MIN(Control!$B$17,D463+F463))</x:f>
        <x:v>251.95619245639134</x:v>
      </x:c>
      <x:c r="H463" s="73" t="n">
        <x:f>MOD(INT(G463)-1,Control!$B$7)+1</x:f>
        <x:v>117</x:v>
      </x:c>
      <x:c r="I463" s="73" t="n">
        <x:f>MIN(Control!$B$6,MAX(1,INT(MAX(0,G463)/Control!$B$7)+1))</x:f>
        <x:v>2</x:v>
      </x:c>
      <x:c r="J463" s="73" t="n">
        <x:f>INDEX(Drivers!$H$8:$H$13,B463)</x:f>
        <x:v>2</x:v>
      </x:c>
      <x:c r="K463" s="73" t="n">
        <x:f>IF(J463=1,INDEX(TrackMap!$I$8:$I$141,H463),INDEX(TrackMap!$L$8:$L$141,H463))</x:f>
        <x:v>3034</x:v>
      </x:c>
      <x:c r="L463" s="73" t="str">
        <x:f>INDEX(TrackMap!$F$8:$F$141,H463)</x:f>
        <x:v>←</x:v>
      </x:c>
      <x:c r="M463" s="87" t="n">
        <x:f>MAX(0,G463/Control!$B$17)</x:f>
        <x:v>0.37605401859162885</x:v>
      </x:c>
      <x:c r="N463" s="73" t="n">
        <x:f>IF(N457&gt;0,N457,IF(G463&gt;=Control!$B$17,A463,0))</x:f>
        <x:v>0</x:v>
      </x:c>
      <x:c r="O463" s="91" t="n">
        <x:f>IF(N463&gt;0,Control!$B$17+Control!$B$8+1-N463,G463)-B463/100000</x:f>
        <x:v>251.95613245639134</x:v>
      </x:c>
      <x:c r="P463" s="73" t="n">
        <x:f>COUNTIF($O$458:$O$463,"&gt;"&amp;O463)+1</x:f>
        <x:v>6</x:v>
      </x:c>
      <x:c r="Q463" s="83" t="n">
        <x:f>MAX($G$458:$G$463)-G463</x:f>
        <x:v>12.735344183563171</x:v>
      </x:c>
      <x:c r="R463" s="73" t="str">
        <x:f>INDEX(TrackMap!$B$8:$B$141,H463)</x:f>
        <x:v>发车大直道</x:v>
      </x:c>
    </x:row>
    <x:row r="464" ht="20" customHeight="1">
      <x:c r="A464" s="73" t="n">
        <x:v>76</x:v>
      </x:c>
      <x:c r="B464" s="73" t="n">
        <x:v>1</x:v>
      </x:c>
      <x:c r="C464" s="73" t="str">
        <x:f>INDEX(Drivers!$B$8:$B$13,B464)</x:f>
        <x:v>赤焰</x:v>
      </x:c>
      <x:c r="D464" s="83" t="n">
        <x:f>G458</x:f>
        <x:v>264.6915366399545</x:v>
      </x:c>
      <x:c r="E464" s="83" t="str">
        <x:f>IF(A464=0,"GRID",IF(D464&gt;=Control!$B$17,"FINISHED",IF(AND(A464&gt;=INDEX(Drivers!$G$8:$G$13,B464),A464&lt;INDEX(Drivers!$G$8:$G$13,B464)+INDEX(Drivers!$J$8:$J$13,B464)),"PIT",IF(MOD(A464+INDEX(Drivers!$F$8:$F$13,B464),Control!$B$11)&lt;Control!$B$13,"BOOST","RACE"))))</x:f>
        <x:v>RACE</x:v>
      </x:c>
      <x:c r="F464" s="83" t="n">
        <x:f>IF(OR(E464="GRID",E464="FINISHED",E464="PIT"),0,MAX(Control!$B$15,(INDEX(Drivers!$D$8:$D$13,B464)+INDEX(Drivers!$E$8:$E$13,B464)*SIN((A464+INDEX(Drivers!$F$8:$F$13,B464)+Control!$B$16)*Control!$B$14))*INDEX(TrackMap!$M$8:$M$141,MOD(INT(D464)-1,Control!$B$7)+1)*IF(E464="BOOST",Control!$B$12,1)))</x:f>
        <x:v>4.173230806332731</x:v>
      </x:c>
      <x:c r="G464" s="83" t="n">
        <x:f>IF(A464=0,D464,MIN(Control!$B$17,D464+F464))</x:f>
        <x:v>268.86476744628726</x:v>
      </x:c>
      <x:c r="H464" s="73" t="n">
        <x:f>MOD(INT(G464)-1,Control!$B$7)+1</x:f>
        <x:v>134</x:v>
      </x:c>
      <x:c r="I464" s="73" t="n">
        <x:f>MIN(Control!$B$6,MAX(1,INT(MAX(0,G464)/Control!$B$7)+1))</x:f>
        <x:v>3</x:v>
      </x:c>
      <x:c r="J464" s="73" t="n">
        <x:f>INDEX(Drivers!$H$8:$H$13,B464)</x:f>
        <x:v>1</x:v>
      </x:c>
      <x:c r="K464" s="73" t="n">
        <x:f>IF(J464=1,INDEX(TrackMap!$I$8:$I$141,H464),INDEX(TrackMap!$L$8:$L$141,H464))</x:f>
        <x:v>3117</x:v>
      </x:c>
      <x:c r="L464" s="73" t="str">
        <x:f>INDEX(TrackMap!$F$8:$F$141,H464)</x:f>
        <x:v>←</x:v>
      </x:c>
      <x:c r="M464" s="87" t="n">
        <x:f>MAX(0,G464/Control!$B$17)</x:f>
        <x:v>0.40129069768102577</x:v>
      </x:c>
      <x:c r="N464" s="73" t="n">
        <x:f>IF(N458&gt;0,N458,IF(G464&gt;=Control!$B$17,A464,0))</x:f>
        <x:v>0</x:v>
      </x:c>
      <x:c r="O464" s="91" t="n">
        <x:f>IF(N464&gt;0,Control!$B$17+Control!$B$8+1-N464,G464)-B464/100000</x:f>
        <x:v>268.8647574462873</x:v>
      </x:c>
      <x:c r="P464" s="73" t="n">
        <x:f>COUNTIF($O$464:$O$469,"&gt;"&amp;O464)+1</x:f>
        <x:v>1</x:v>
      </x:c>
      <x:c r="Q464" s="83" t="n">
        <x:f>MAX($G$464:$G$469)-G464</x:f>
        <x:v>0</x:v>
      </x:c>
      <x:c r="R464" s="73" t="str">
        <x:f>INDEX(TrackMap!$B$8:$B$141,H464)</x:f>
        <x:v>发车大直道</x:v>
      </x:c>
    </x:row>
    <x:row r="465" ht="20" customHeight="1">
      <x:c r="A465" s="73" t="n">
        <x:v>76</x:v>
      </x:c>
      <x:c r="B465" s="73" t="n">
        <x:v>2</x:v>
      </x:c>
      <x:c r="C465" s="73" t="str">
        <x:f>INDEX(Drivers!$B$8:$B$13,B465)</x:f>
        <x:v>蓝电</x:v>
      </x:c>
      <x:c r="D465" s="83" t="n">
        <x:f>G459</x:f>
        <x:v>256.22757854056425</x:v>
      </x:c>
      <x:c r="E465" s="83" t="str">
        <x:f>IF(A465=0,"GRID",IF(D465&gt;=Control!$B$17,"FINISHED",IF(AND(A465&gt;=INDEX(Drivers!$G$8:$G$13,B465),A465&lt;INDEX(Drivers!$G$8:$G$13,B465)+INDEX(Drivers!$J$8:$J$13,B465)),"PIT",IF(MOD(A465+INDEX(Drivers!$F$8:$F$13,B465),Control!$B$11)&lt;Control!$B$13,"BOOST","RACE"))))</x:f>
        <x:v>RACE</x:v>
      </x:c>
      <x:c r="F465" s="83" t="n">
        <x:f>IF(OR(E465="GRID",E465="FINISHED",E465="PIT"),0,MAX(Control!$B$15,(INDEX(Drivers!$D$8:$D$13,B465)+INDEX(Drivers!$E$8:$E$13,B465)*SIN((A465+INDEX(Drivers!$F$8:$F$13,B465)+Control!$B$16)*Control!$B$14))*INDEX(TrackMap!$M$8:$M$141,MOD(INT(D465)-1,Control!$B$7)+1)*IF(E465="BOOST",Control!$B$12,1)))</x:f>
        <x:v>2.9969577983271196</x:v>
      </x:c>
      <x:c r="G465" s="83" t="n">
        <x:f>IF(A465=0,D465,MIN(Control!$B$17,D465+F465))</x:f>
        <x:v>259.22453633889137</x:v>
      </x:c>
      <x:c r="H465" s="73" t="n">
        <x:f>MOD(INT(G465)-1,Control!$B$7)+1</x:f>
        <x:v>125</x:v>
      </x:c>
      <x:c r="I465" s="73" t="n">
        <x:f>MIN(Control!$B$6,MAX(1,INT(MAX(0,G465)/Control!$B$7)+1))</x:f>
        <x:v>2</x:v>
      </x:c>
      <x:c r="J465" s="73" t="n">
        <x:f>INDEX(Drivers!$H$8:$H$13,B465)</x:f>
        <x:v>2</x:v>
      </x:c>
      <x:c r="K465" s="73" t="n">
        <x:f>IF(J465=1,INDEX(TrackMap!$I$8:$I$141,H465),INDEX(TrackMap!$L$8:$L$141,H465))</x:f>
        <x:v>3026</x:v>
      </x:c>
      <x:c r="L465" s="73" t="str">
        <x:f>INDEX(TrackMap!$F$8:$F$141,H465)</x:f>
        <x:v>←</x:v>
      </x:c>
      <x:c r="M465" s="87" t="n">
        <x:f>MAX(0,G465/Control!$B$17)</x:f>
        <x:v>0.38690229304312146</x:v>
      </x:c>
      <x:c r="N465" s="73" t="n">
        <x:f>IF(N459&gt;0,N459,IF(G465&gt;=Control!$B$17,A465,0))</x:f>
        <x:v>0</x:v>
      </x:c>
      <x:c r="O465" s="91" t="n">
        <x:f>IF(N465&gt;0,Control!$B$17+Control!$B$8+1-N465,G465)-B465/100000</x:f>
        <x:v>259.22451633889136</x:v>
      </x:c>
      <x:c r="P465" s="73" t="n">
        <x:f>COUNTIF($O$464:$O$469,"&gt;"&amp;O465)+1</x:f>
        <x:v>4</x:v>
      </x:c>
      <x:c r="Q465" s="83" t="n">
        <x:f>MAX($G$464:$G$469)-G465</x:f>
        <x:v>9.640231107395891</x:v>
      </x:c>
      <x:c r="R465" s="73" t="str">
        <x:f>INDEX(TrackMap!$B$8:$B$141,H465)</x:f>
        <x:v>发车大直道</x:v>
      </x:c>
    </x:row>
    <x:row r="466" ht="20" customHeight="1">
      <x:c r="A466" s="73" t="n">
        <x:v>76</x:v>
      </x:c>
      <x:c r="B466" s="73" t="n">
        <x:v>3</x:v>
      </x:c>
      <x:c r="C466" s="73" t="str">
        <x:f>INDEX(Drivers!$B$8:$B$13,B466)</x:f>
        <x:v>金翼</x:v>
      </x:c>
      <x:c r="D466" s="83" t="n">
        <x:f>G460</x:f>
        <x:v>257.0953703243928</x:v>
      </x:c>
      <x:c r="E466" s="83" t="str">
        <x:f>IF(A466=0,"GRID",IF(D466&gt;=Control!$B$17,"FINISHED",IF(AND(A466&gt;=INDEX(Drivers!$G$8:$G$13,B466),A466&lt;INDEX(Drivers!$G$8:$G$13,B466)+INDEX(Drivers!$J$8:$J$13,B466)),"PIT",IF(MOD(A466+INDEX(Drivers!$F$8:$F$13,B466),Control!$B$11)&lt;Control!$B$13,"BOOST","RACE"))))</x:f>
        <x:v>BOOST</x:v>
      </x:c>
      <x:c r="F466" s="83" t="n">
        <x:f>IF(OR(E466="GRID",E466="FINISHED",E466="PIT"),0,MAX(Control!$B$15,(INDEX(Drivers!$D$8:$D$13,B466)+INDEX(Drivers!$E$8:$E$13,B466)*SIN((A466+INDEX(Drivers!$F$8:$F$13,B466)+Control!$B$16)*Control!$B$14))*INDEX(TrackMap!$M$8:$M$141,MOD(INT(D466)-1,Control!$B$7)+1)*IF(E466="BOOST",Control!$B$12,1)))</x:f>
        <x:v>5.470139617548365</x:v>
      </x:c>
      <x:c r="G466" s="83" t="n">
        <x:f>IF(A466=0,D466,MIN(Control!$B$17,D466+F466))</x:f>
        <x:v>262.5655099419411</x:v>
      </x:c>
      <x:c r="H466" s="73" t="n">
        <x:f>MOD(INT(G466)-1,Control!$B$7)+1</x:f>
        <x:v>128</x:v>
      </x:c>
      <x:c r="I466" s="73" t="n">
        <x:f>MIN(Control!$B$6,MAX(1,INT(MAX(0,G466)/Control!$B$7)+1))</x:f>
        <x:v>2</x:v>
      </x:c>
      <x:c r="J466" s="73" t="n">
        <x:f>INDEX(Drivers!$H$8:$H$13,B466)</x:f>
        <x:v>1</x:v>
      </x:c>
      <x:c r="K466" s="73" t="n">
        <x:f>IF(J466=1,INDEX(TrackMap!$I$8:$I$141,H466),INDEX(TrackMap!$L$8:$L$141,H466))</x:f>
        <x:v>3123</x:v>
      </x:c>
      <x:c r="L466" s="73" t="str">
        <x:f>INDEX(TrackMap!$F$8:$F$141,H466)</x:f>
        <x:v>←</x:v>
      </x:c>
      <x:c r="M466" s="87" t="n">
        <x:f>MAX(0,G466/Control!$B$17)</x:f>
        <x:v>0.39188882080886733</x:v>
      </x:c>
      <x:c r="N466" s="73" t="n">
        <x:f>IF(N460&gt;0,N460,IF(G466&gt;=Control!$B$17,A466,0))</x:f>
        <x:v>0</x:v>
      </x:c>
      <x:c r="O466" s="91" t="n">
        <x:f>IF(N466&gt;0,Control!$B$17+Control!$B$8+1-N466,G466)-B466/100000</x:f>
        <x:v>262.56547994194113</x:v>
      </x:c>
      <x:c r="P466" s="73" t="n">
        <x:f>COUNTIF($O$464:$O$469,"&gt;"&amp;O466)+1</x:f>
        <x:v>3</x:v>
      </x:c>
      <x:c r="Q466" s="83" t="n">
        <x:f>MAX($G$464:$G$469)-G466</x:f>
        <x:v>6.299257504346144</x:v>
      </x:c>
      <x:c r="R466" s="73" t="str">
        <x:f>INDEX(TrackMap!$B$8:$B$141,H466)</x:f>
        <x:v>发车大直道</x:v>
      </x:c>
    </x:row>
    <x:row r="467" ht="20" customHeight="1">
      <x:c r="A467" s="73" t="n">
        <x:v>76</x:v>
      </x:c>
      <x:c r="B467" s="73" t="n">
        <x:v>4</x:v>
      </x:c>
      <x:c r="C467" s="73" t="str">
        <x:f>INDEX(Drivers!$B$8:$B$13,B467)</x:f>
        <x:v>紫影</x:v>
      </x:c>
      <x:c r="D467" s="83" t="n">
        <x:f>G461</x:f>
        <x:v>262.7635593360323</x:v>
      </x:c>
      <x:c r="E467" s="83" t="str">
        <x:f>IF(A467=0,"GRID",IF(D467&gt;=Control!$B$17,"FINISHED",IF(AND(A467&gt;=INDEX(Drivers!$G$8:$G$13,B467),A467&lt;INDEX(Drivers!$G$8:$G$13,B467)+INDEX(Drivers!$J$8:$J$13,B467)),"PIT",IF(MOD(A467+INDEX(Drivers!$F$8:$F$13,B467),Control!$B$11)&lt;Control!$B$13,"BOOST","RACE"))))</x:f>
        <x:v>RACE</x:v>
      </x:c>
      <x:c r="F467" s="83" t="n">
        <x:f>IF(OR(E467="GRID",E467="FINISHED",E467="PIT"),0,MAX(Control!$B$15,(INDEX(Drivers!$D$8:$D$13,B467)+INDEX(Drivers!$E$8:$E$13,B467)*SIN((A467+INDEX(Drivers!$F$8:$F$13,B467)+Control!$B$16)*Control!$B$14))*INDEX(TrackMap!$M$8:$M$141,MOD(INT(D467)-1,Control!$B$7)+1)*IF(E467="BOOST",Control!$B$12,1)))</x:f>
        <x:v>3.4681709170734347</x:v>
      </x:c>
      <x:c r="G467" s="83" t="n">
        <x:f>IF(A467=0,D467,MIN(Control!$B$17,D467+F467))</x:f>
        <x:v>266.23173025310575</x:v>
      </x:c>
      <x:c r="H467" s="73" t="n">
        <x:f>MOD(INT(G467)-1,Control!$B$7)+1</x:f>
        <x:v>132</x:v>
      </x:c>
      <x:c r="I467" s="73" t="n">
        <x:f>MIN(Control!$B$6,MAX(1,INT(MAX(0,G467)/Control!$B$7)+1))</x:f>
        <x:v>2</x:v>
      </x:c>
      <x:c r="J467" s="73" t="n">
        <x:f>INDEX(Drivers!$H$8:$H$13,B467)</x:f>
        <x:v>2</x:v>
      </x:c>
      <x:c r="K467" s="73" t="n">
        <x:f>IF(J467=1,INDEX(TrackMap!$I$8:$I$141,H467),INDEX(TrackMap!$L$8:$L$141,H467))</x:f>
        <x:v>3019</x:v>
      </x:c>
      <x:c r="L467" s="73" t="str">
        <x:f>INDEX(TrackMap!$F$8:$F$141,H467)</x:f>
        <x:v>←</x:v>
      </x:c>
      <x:c r="M467" s="87" t="n">
        <x:f>MAX(0,G467/Control!$B$17)</x:f>
        <x:v>0.3973607914225459</x:v>
      </x:c>
      <x:c r="N467" s="73" t="n">
        <x:f>IF(N461&gt;0,N461,IF(G467&gt;=Control!$B$17,A467,0))</x:f>
        <x:v>0</x:v>
      </x:c>
      <x:c r="O467" s="91" t="n">
        <x:f>IF(N467&gt;0,Control!$B$17+Control!$B$8+1-N467,G467)-B467/100000</x:f>
        <x:v>266.23169025310574</x:v>
      </x:c>
      <x:c r="P467" s="73" t="n">
        <x:f>COUNTIF($O$464:$O$469,"&gt;"&amp;O467)+1</x:f>
        <x:v>2</x:v>
      </x:c>
      <x:c r="Q467" s="83" t="n">
        <x:f>MAX($G$464:$G$469)-G467</x:f>
        <x:v>2.633037193181508</x:v>
      </x:c>
      <x:c r="R467" s="73" t="str">
        <x:f>INDEX(TrackMap!$B$8:$B$141,H467)</x:f>
        <x:v>发车大直道</x:v>
      </x:c>
    </x:row>
    <x:row r="468" ht="20" customHeight="1">
      <x:c r="A468" s="73" t="n">
        <x:v>76</x:v>
      </x:c>
      <x:c r="B468" s="73" t="n">
        <x:v>5</x:v>
      </x:c>
      <x:c r="C468" s="73" t="str">
        <x:f>INDEX(Drivers!$B$8:$B$13,B468)</x:f>
        <x:v>青锋</x:v>
      </x:c>
      <x:c r="D468" s="83" t="n">
        <x:f>G462</x:f>
        <x:v>254.94860333951266</x:v>
      </x:c>
      <x:c r="E468" s="83" t="str">
        <x:f>IF(A468=0,"GRID",IF(D468&gt;=Control!$B$17,"FINISHED",IF(AND(A468&gt;=INDEX(Drivers!$G$8:$G$13,B468),A468&lt;INDEX(Drivers!$G$8:$G$13,B468)+INDEX(Drivers!$J$8:$J$13,B468)),"PIT",IF(MOD(A468+INDEX(Drivers!$F$8:$F$13,B468),Control!$B$11)&lt;Control!$B$13,"BOOST","RACE"))))</x:f>
        <x:v>RACE</x:v>
      </x:c>
      <x:c r="F468" s="83" t="n">
        <x:f>IF(OR(E468="GRID",E468="FINISHED",E468="PIT"),0,MAX(Control!$B$15,(INDEX(Drivers!$D$8:$D$13,B468)+INDEX(Drivers!$E$8:$E$13,B468)*SIN((A468+INDEX(Drivers!$F$8:$F$13,B468)+Control!$B$16)*Control!$B$14))*INDEX(TrackMap!$M$8:$M$141,MOD(INT(D468)-1,Control!$B$7)+1)*IF(E468="BOOST",Control!$B$12,1)))</x:f>
        <x:v>3.5152620178304748</x:v>
      </x:c>
      <x:c r="G468" s="83" t="n">
        <x:f>IF(A468=0,D468,MIN(Control!$B$17,D468+F468))</x:f>
        <x:v>258.46386535734314</x:v>
      </x:c>
      <x:c r="H468" s="73" t="n">
        <x:f>MOD(INT(G468)-1,Control!$B$7)+1</x:f>
        <x:v>124</x:v>
      </x:c>
      <x:c r="I468" s="73" t="n">
        <x:f>MIN(Control!$B$6,MAX(1,INT(MAX(0,G468)/Control!$B$7)+1))</x:f>
        <x:v>2</x:v>
      </x:c>
      <x:c r="J468" s="73" t="n">
        <x:f>INDEX(Drivers!$H$8:$H$13,B468)</x:f>
        <x:v>1</x:v>
      </x:c>
      <x:c r="K468" s="73" t="n">
        <x:f>IF(J468=1,INDEX(TrackMap!$I$8:$I$141,H468),INDEX(TrackMap!$L$8:$L$141,H468))</x:f>
        <x:v>3127</x:v>
      </x:c>
      <x:c r="L468" s="73" t="str">
        <x:f>INDEX(TrackMap!$F$8:$F$141,H468)</x:f>
        <x:v>←</x:v>
      </x:c>
      <x:c r="M468" s="87" t="n">
        <x:f>MAX(0,G468/Control!$B$17)</x:f>
        <x:v>0.3857669632199151</x:v>
      </x:c>
      <x:c r="N468" s="73" t="n">
        <x:f>IF(N462&gt;0,N462,IF(G468&gt;=Control!$B$17,A468,0))</x:f>
        <x:v>0</x:v>
      </x:c>
      <x:c r="O468" s="91" t="n">
        <x:f>IF(N468&gt;0,Control!$B$17+Control!$B$8+1-N468,G468)-B468/100000</x:f>
        <x:v>258.46381535734315</x:v>
      </x:c>
      <x:c r="P468" s="73" t="n">
        <x:f>COUNTIF($O$464:$O$469,"&gt;"&amp;O468)+1</x:f>
        <x:v>5</x:v>
      </x:c>
      <x:c r="Q468" s="83" t="n">
        <x:f>MAX($G$464:$G$469)-G468</x:f>
        <x:v>10.400902088944122</x:v>
      </x:c>
      <x:c r="R468" s="73" t="str">
        <x:f>INDEX(TrackMap!$B$8:$B$141,H468)</x:f>
        <x:v>发车大直道</x:v>
      </x:c>
    </x:row>
    <x:row r="469" ht="20" customHeight="1">
      <x:c r="A469" s="73" t="n">
        <x:v>76</x:v>
      </x:c>
      <x:c r="B469" s="73" t="n">
        <x:v>6</x:v>
      </x:c>
      <x:c r="C469" s="73" t="str">
        <x:f>INDEX(Drivers!$B$8:$B$13,B469)</x:f>
        <x:v>玫速</x:v>
      </x:c>
      <x:c r="D469" s="83" t="n">
        <x:f>G463</x:f>
        <x:v>251.95619245639134</x:v>
      </x:c>
      <x:c r="E469" s="83" t="str">
        <x:f>IF(A469=0,"GRID",IF(D469&gt;=Control!$B$17,"FINISHED",IF(AND(A469&gt;=INDEX(Drivers!$G$8:$G$13,B469),A469&lt;INDEX(Drivers!$G$8:$G$13,B469)+INDEX(Drivers!$J$8:$J$13,B469)),"PIT",IF(MOD(A469+INDEX(Drivers!$F$8:$F$13,B469),Control!$B$11)&lt;Control!$B$13,"BOOST","RACE"))))</x:f>
        <x:v>RACE</x:v>
      </x:c>
      <x:c r="F469" s="83" t="n">
        <x:f>IF(OR(E469="GRID",E469="FINISHED",E469="PIT"),0,MAX(Control!$B$15,(INDEX(Drivers!$D$8:$D$13,B469)+INDEX(Drivers!$E$8:$E$13,B469)*SIN((A469+INDEX(Drivers!$F$8:$F$13,B469)+Control!$B$16)*Control!$B$14))*INDEX(TrackMap!$M$8:$M$141,MOD(INT(D469)-1,Control!$B$7)+1)*IF(E469="BOOST",Control!$B$12,1)))</x:f>
        <x:v>3.486078400014363</x:v>
      </x:c>
      <x:c r="G469" s="83" t="n">
        <x:f>IF(A469=0,D469,MIN(Control!$B$17,D469+F469))</x:f>
        <x:v>255.44227085640568</x:v>
      </x:c>
      <x:c r="H469" s="73" t="n">
        <x:f>MOD(INT(G469)-1,Control!$B$7)+1</x:f>
        <x:v>121</x:v>
      </x:c>
      <x:c r="I469" s="73" t="n">
        <x:f>MIN(Control!$B$6,MAX(1,INT(MAX(0,G469)/Control!$B$7)+1))</x:f>
        <x:v>2</x:v>
      </x:c>
      <x:c r="J469" s="73" t="n">
        <x:f>INDEX(Drivers!$H$8:$H$13,B469)</x:f>
        <x:v>2</x:v>
      </x:c>
      <x:c r="K469" s="73" t="n">
        <x:f>IF(J469=1,INDEX(TrackMap!$I$8:$I$141,H469),INDEX(TrackMap!$L$8:$L$141,H469))</x:f>
        <x:v>3030</x:v>
      </x:c>
      <x:c r="L469" s="73" t="str">
        <x:f>INDEX(TrackMap!$F$8:$F$141,H469)</x:f>
        <x:v>←</x:v>
      </x:c>
      <x:c r="M469" s="87" t="n">
        <x:f>MAX(0,G469/Control!$B$17)</x:f>
        <x:v>0.3812571206812025</x:v>
      </x:c>
      <x:c r="N469" s="73" t="n">
        <x:f>IF(N463&gt;0,N463,IF(G469&gt;=Control!$B$17,A469,0))</x:f>
        <x:v>0</x:v>
      </x:c>
      <x:c r="O469" s="91" t="n">
        <x:f>IF(N469&gt;0,Control!$B$17+Control!$B$8+1-N469,G469)-B469/100000</x:f>
        <x:v>255.4422108564057</x:v>
      </x:c>
      <x:c r="P469" s="73" t="n">
        <x:f>COUNTIF($O$464:$O$469,"&gt;"&amp;O469)+1</x:f>
        <x:v>6</x:v>
      </x:c>
      <x:c r="Q469" s="83" t="n">
        <x:f>MAX($G$464:$G$469)-G469</x:f>
        <x:v>13.422496589881575</x:v>
      </x:c>
      <x:c r="R469" s="73" t="str">
        <x:f>INDEX(TrackMap!$B$8:$B$141,H469)</x:f>
        <x:v>发车大直道</x:v>
      </x:c>
    </x:row>
    <x:row r="470" ht="20" customHeight="1">
      <x:c r="A470" s="73" t="n">
        <x:v>77</x:v>
      </x:c>
      <x:c r="B470" s="73" t="n">
        <x:v>1</x:v>
      </x:c>
      <x:c r="C470" s="73" t="str">
        <x:f>INDEX(Drivers!$B$8:$B$13,B470)</x:f>
        <x:v>赤焰</x:v>
      </x:c>
      <x:c r="D470" s="83" t="n">
        <x:f>G464</x:f>
        <x:v>268.86476744628726</x:v>
      </x:c>
      <x:c r="E470" s="83" t="str">
        <x:f>IF(A470=0,"GRID",IF(D470&gt;=Control!$B$17,"FINISHED",IF(AND(A470&gt;=INDEX(Drivers!$G$8:$G$13,B470),A470&lt;INDEX(Drivers!$G$8:$G$13,B470)+INDEX(Drivers!$J$8:$J$13,B470)),"PIT",IF(MOD(A470+INDEX(Drivers!$F$8:$F$13,B470),Control!$B$11)&lt;Control!$B$13,"BOOST","RACE"))))</x:f>
        <x:v>RACE</x:v>
      </x:c>
      <x:c r="F470" s="83" t="n">
        <x:f>IF(OR(E470="GRID",E470="FINISHED",E470="PIT"),0,MAX(Control!$B$15,(INDEX(Drivers!$D$8:$D$13,B470)+INDEX(Drivers!$E$8:$E$13,B470)*SIN((A470+INDEX(Drivers!$F$8:$F$13,B470)+Control!$B$16)*Control!$B$14))*INDEX(TrackMap!$M$8:$M$141,MOD(INT(D470)-1,Control!$B$7)+1)*IF(E470="BOOST",Control!$B$12,1)))</x:f>
        <x:v>3.179692891650126</x:v>
      </x:c>
      <x:c r="G470" s="83" t="n">
        <x:f>IF(A470=0,D470,MIN(Control!$B$17,D470+F470))</x:f>
        <x:v>272.0444603379374</x:v>
      </x:c>
      <x:c r="H470" s="73" t="n">
        <x:f>MOD(INT(G470)-1,Control!$B$7)+1</x:f>
        <x:v>4</x:v>
      </x:c>
      <x:c r="I470" s="73" t="n">
        <x:f>MIN(Control!$B$6,MAX(1,INT(MAX(0,G470)/Control!$B$7)+1))</x:f>
        <x:v>3</x:v>
      </x:c>
      <x:c r="J470" s="73" t="n">
        <x:f>INDEX(Drivers!$H$8:$H$13,B470)</x:f>
        <x:v>1</x:v>
      </x:c>
      <x:c r="K470" s="73" t="n">
        <x:f>IF(J470=1,INDEX(TrackMap!$I$8:$I$141,H470),INDEX(TrackMap!$L$8:$L$141,H470))</x:f>
        <x:v>3113</x:v>
      </x:c>
      <x:c r="L470" s="73" t="str">
        <x:f>INDEX(TrackMap!$F$8:$F$141,H470)</x:f>
        <x:v>←</x:v>
      </x:c>
      <x:c r="M470" s="87" t="n">
        <x:f>MAX(0,G470/Control!$B$17)</x:f>
        <x:v>0.4060365079670707</x:v>
      </x:c>
      <x:c r="N470" s="73" t="n">
        <x:f>IF(N464&gt;0,N464,IF(G470&gt;=Control!$B$17,A470,0))</x:f>
        <x:v>0</x:v>
      </x:c>
      <x:c r="O470" s="91" t="n">
        <x:f>IF(N470&gt;0,Control!$B$17+Control!$B$8+1-N470,G470)-B470/100000</x:f>
        <x:v>272.0444503379374</x:v>
      </x:c>
      <x:c r="P470" s="73" t="n">
        <x:f>COUNTIF($O$470:$O$475,"&gt;"&amp;O470)+1</x:f>
        <x:v>1</x:v>
      </x:c>
      <x:c r="Q470" s="83" t="n">
        <x:f>MAX($G$470:$G$475)-G470</x:f>
        <x:v>0</x:v>
      </x:c>
      <x:c r="R470" s="73" t="str">
        <x:f>INDEX(TrackMap!$B$8:$B$141,H470)</x:f>
        <x:v>发车大直道</x:v>
      </x:c>
    </x:row>
    <x:row r="471" ht="20" customHeight="1">
      <x:c r="A471" s="73" t="n">
        <x:v>77</x:v>
      </x:c>
      <x:c r="B471" s="73" t="n">
        <x:v>2</x:v>
      </x:c>
      <x:c r="C471" s="73" t="str">
        <x:f>INDEX(Drivers!$B$8:$B$13,B471)</x:f>
        <x:v>蓝电</x:v>
      </x:c>
      <x:c r="D471" s="83" t="n">
        <x:f>G465</x:f>
        <x:v>259.22453633889137</x:v>
      </x:c>
      <x:c r="E471" s="83" t="str">
        <x:f>IF(A471=0,"GRID",IF(D471&gt;=Control!$B$17,"FINISHED",IF(AND(A471&gt;=INDEX(Drivers!$G$8:$G$13,B471),A471&lt;INDEX(Drivers!$G$8:$G$13,B471)+INDEX(Drivers!$J$8:$J$13,B471)),"PIT",IF(MOD(A471+INDEX(Drivers!$F$8:$F$13,B471),Control!$B$11)&lt;Control!$B$13,"BOOST","RACE"))))</x:f>
        <x:v>RACE</x:v>
      </x:c>
      <x:c r="F471" s="83" t="n">
        <x:f>IF(OR(E471="GRID",E471="FINISHED",E471="PIT"),0,MAX(Control!$B$15,(INDEX(Drivers!$D$8:$D$13,B471)+INDEX(Drivers!$E$8:$E$13,B471)*SIN((A471+INDEX(Drivers!$F$8:$F$13,B471)+Control!$B$16)*Control!$B$14))*INDEX(TrackMap!$M$8:$M$141,MOD(INT(D471)-1,Control!$B$7)+1)*IF(E471="BOOST",Control!$B$12,1)))</x:f>
        <x:v>2.985194727733159</x:v>
      </x:c>
      <x:c r="G471" s="83" t="n">
        <x:f>IF(A471=0,D471,MIN(Control!$B$17,D471+F471))</x:f>
        <x:v>262.2097310666245</x:v>
      </x:c>
      <x:c r="H471" s="73" t="n">
        <x:f>MOD(INT(G471)-1,Control!$B$7)+1</x:f>
        <x:v>128</x:v>
      </x:c>
      <x:c r="I471" s="73" t="n">
        <x:f>MIN(Control!$B$6,MAX(1,INT(MAX(0,G471)/Control!$B$7)+1))</x:f>
        <x:v>2</x:v>
      </x:c>
      <x:c r="J471" s="73" t="n">
        <x:f>INDEX(Drivers!$H$8:$H$13,B471)</x:f>
        <x:v>2</x:v>
      </x:c>
      <x:c r="K471" s="73" t="n">
        <x:f>IF(J471=1,INDEX(TrackMap!$I$8:$I$141,H471),INDEX(TrackMap!$L$8:$L$141,H471))</x:f>
        <x:v>3023</x:v>
      </x:c>
      <x:c r="L471" s="73" t="str">
        <x:f>INDEX(TrackMap!$F$8:$F$141,H471)</x:f>
        <x:v>←</x:v>
      </x:c>
      <x:c r="M471" s="87" t="n">
        <x:f>MAX(0,G471/Control!$B$17)</x:f>
        <x:v>0.3913578075621261</x:v>
      </x:c>
      <x:c r="N471" s="73" t="n">
        <x:f>IF(N465&gt;0,N465,IF(G471&gt;=Control!$B$17,A471,0))</x:f>
        <x:v>0</x:v>
      </x:c>
      <x:c r="O471" s="91" t="n">
        <x:f>IF(N471&gt;0,Control!$B$17+Control!$B$8+1-N471,G471)-B471/100000</x:f>
        <x:v>262.2097110666245</x:v>
      </x:c>
      <x:c r="P471" s="73" t="n">
        <x:f>COUNTIF($O$470:$O$475,"&gt;"&amp;O471)+1</x:f>
        <x:v>4</x:v>
      </x:c>
      <x:c r="Q471" s="83" t="n">
        <x:f>MAX($G$470:$G$475)-G471</x:f>
        <x:v>9.83472927131288</x:v>
      </x:c>
      <x:c r="R471" s="73" t="str">
        <x:f>INDEX(TrackMap!$B$8:$B$141,H471)</x:f>
        <x:v>发车大直道</x:v>
      </x:c>
    </x:row>
    <x:row r="472" ht="20" customHeight="1">
      <x:c r="A472" s="73" t="n">
        <x:v>77</x:v>
      </x:c>
      <x:c r="B472" s="73" t="n">
        <x:v>3</x:v>
      </x:c>
      <x:c r="C472" s="73" t="str">
        <x:f>INDEX(Drivers!$B$8:$B$13,B472)</x:f>
        <x:v>金翼</x:v>
      </x:c>
      <x:c r="D472" s="83" t="n">
        <x:f>G466</x:f>
        <x:v>262.5655099419411</x:v>
      </x:c>
      <x:c r="E472" s="83" t="str">
        <x:f>IF(A472=0,"GRID",IF(D472&gt;=Control!$B$17,"FINISHED",IF(AND(A472&gt;=INDEX(Drivers!$G$8:$G$13,B472),A472&lt;INDEX(Drivers!$G$8:$G$13,B472)+INDEX(Drivers!$J$8:$J$13,B472)),"PIT",IF(MOD(A472+INDEX(Drivers!$F$8:$F$13,B472),Control!$B$11)&lt;Control!$B$13,"BOOST","RACE"))))</x:f>
        <x:v>BOOST</x:v>
      </x:c>
      <x:c r="F472" s="83" t="n">
        <x:f>IF(OR(E472="GRID",E472="FINISHED",E472="PIT"),0,MAX(Control!$B$15,(INDEX(Drivers!$D$8:$D$13,B472)+INDEX(Drivers!$E$8:$E$13,B472)*SIN((A472+INDEX(Drivers!$F$8:$F$13,B472)+Control!$B$16)*Control!$B$14))*INDEX(TrackMap!$M$8:$M$141,MOD(INT(D472)-1,Control!$B$7)+1)*IF(E472="BOOST",Control!$B$12,1)))</x:f>
        <x:v>5.6113603072808065</x:v>
      </x:c>
      <x:c r="G472" s="83" t="n">
        <x:f>IF(A472=0,D472,MIN(Control!$B$17,D472+F472))</x:f>
        <x:v>268.1768702492219</x:v>
      </x:c>
      <x:c r="H472" s="73" t="n">
        <x:f>MOD(INT(G472)-1,Control!$B$7)+1</x:f>
        <x:v>134</x:v>
      </x:c>
      <x:c r="I472" s="73" t="n">
        <x:f>MIN(Control!$B$6,MAX(1,INT(MAX(0,G472)/Control!$B$7)+1))</x:f>
        <x:v>3</x:v>
      </x:c>
      <x:c r="J472" s="73" t="n">
        <x:f>INDEX(Drivers!$H$8:$H$13,B472)</x:f>
        <x:v>1</x:v>
      </x:c>
      <x:c r="K472" s="73" t="n">
        <x:f>IF(J472=1,INDEX(TrackMap!$I$8:$I$141,H472),INDEX(TrackMap!$L$8:$L$141,H472))</x:f>
        <x:v>3117</x:v>
      </x:c>
      <x:c r="L472" s="73" t="str">
        <x:f>INDEX(TrackMap!$F$8:$F$141,H472)</x:f>
        <x:v>←</x:v>
      </x:c>
      <x:c r="M472" s="87" t="n">
        <x:f>MAX(0,G472/Control!$B$17)</x:f>
        <x:v>0.40026398544659986</x:v>
      </x:c>
      <x:c r="N472" s="73" t="n">
        <x:f>IF(N466&gt;0,N466,IF(G472&gt;=Control!$B$17,A472,0))</x:f>
        <x:v>0</x:v>
      </x:c>
      <x:c r="O472" s="91" t="n">
        <x:f>IF(N472&gt;0,Control!$B$17+Control!$B$8+1-N472,G472)-B472/100000</x:f>
        <x:v>268.1768402492219</x:v>
      </x:c>
      <x:c r="P472" s="73" t="n">
        <x:f>COUNTIF($O$470:$O$475,"&gt;"&amp;O472)+1</x:f>
        <x:v>3</x:v>
      </x:c>
      <x:c r="Q472" s="83" t="n">
        <x:f>MAX($G$470:$G$475)-G472</x:f>
        <x:v>3.867590088715474</x:v>
      </x:c>
      <x:c r="R472" s="73" t="str">
        <x:f>INDEX(TrackMap!$B$8:$B$141,H472)</x:f>
        <x:v>发车大直道</x:v>
      </x:c>
    </x:row>
    <x:row r="473" ht="20" customHeight="1">
      <x:c r="A473" s="73" t="n">
        <x:v>77</x:v>
      </x:c>
      <x:c r="B473" s="73" t="n">
        <x:v>4</x:v>
      </x:c>
      <x:c r="C473" s="73" t="str">
        <x:f>INDEX(Drivers!$B$8:$B$13,B473)</x:f>
        <x:v>紫影</x:v>
      </x:c>
      <x:c r="D473" s="83" t="n">
        <x:f>G467</x:f>
        <x:v>266.23173025310575</x:v>
      </x:c>
      <x:c r="E473" s="83" t="str">
        <x:f>IF(A473=0,"GRID",IF(D473&gt;=Control!$B$17,"FINISHED",IF(AND(A473&gt;=INDEX(Drivers!$G$8:$G$13,B473),A473&lt;INDEX(Drivers!$G$8:$G$13,B473)+INDEX(Drivers!$J$8:$J$13,B473)),"PIT",IF(MOD(A473+INDEX(Drivers!$F$8:$F$13,B473),Control!$B$11)&lt;Control!$B$13,"BOOST","RACE"))))</x:f>
        <x:v>RACE</x:v>
      </x:c>
      <x:c r="F473" s="83" t="n">
        <x:f>IF(OR(E473="GRID",E473="FINISHED",E473="PIT"),0,MAX(Control!$B$15,(INDEX(Drivers!$D$8:$D$13,B473)+INDEX(Drivers!$E$8:$E$13,B473)*SIN((A473+INDEX(Drivers!$F$8:$F$13,B473)+Control!$B$16)*Control!$B$14))*INDEX(TrackMap!$M$8:$M$141,MOD(INT(D473)-1,Control!$B$7)+1)*IF(E473="BOOST",Control!$B$12,1)))</x:f>
        <x:v>3.272844685463094</x:v>
      </x:c>
      <x:c r="G473" s="83" t="n">
        <x:f>IF(A473=0,D473,MIN(Control!$B$17,D473+F473))</x:f>
        <x:v>269.50457493856885</x:v>
      </x:c>
      <x:c r="H473" s="73" t="n">
        <x:f>MOD(INT(G473)-1,Control!$B$7)+1</x:f>
        <x:v>1</x:v>
      </x:c>
      <x:c r="I473" s="73" t="n">
        <x:f>MIN(Control!$B$6,MAX(1,INT(MAX(0,G473)/Control!$B$7)+1))</x:f>
        <x:v>3</x:v>
      </x:c>
      <x:c r="J473" s="73" t="n">
        <x:f>INDEX(Drivers!$H$8:$H$13,B473)</x:f>
        <x:v>2</x:v>
      </x:c>
      <x:c r="K473" s="73" t="n">
        <x:f>IF(J473=1,INDEX(TrackMap!$I$8:$I$141,H473),INDEX(TrackMap!$L$8:$L$141,H473))</x:f>
        <x:v>3016</x:v>
      </x:c>
      <x:c r="L473" s="73" t="str">
        <x:f>INDEX(TrackMap!$F$8:$F$141,H473)</x:f>
        <x:v>←</x:v>
      </x:c>
      <x:c r="M473" s="87" t="n">
        <x:f>MAX(0,G473/Control!$B$17)</x:f>
        <x:v>0.4022456342366699</x:v>
      </x:c>
      <x:c r="N473" s="73" t="n">
        <x:f>IF(N467&gt;0,N467,IF(G473&gt;=Control!$B$17,A473,0))</x:f>
        <x:v>0</x:v>
      </x:c>
      <x:c r="O473" s="91" t="n">
        <x:f>IF(N473&gt;0,Control!$B$17+Control!$B$8+1-N473,G473)-B473/100000</x:f>
        <x:v>269.50453493856884</x:v>
      </x:c>
      <x:c r="P473" s="73" t="n">
        <x:f>COUNTIF($O$470:$O$475,"&gt;"&amp;O473)+1</x:f>
        <x:v>2</x:v>
      </x:c>
      <x:c r="Q473" s="83" t="n">
        <x:f>MAX($G$470:$G$475)-G473</x:f>
        <x:v>2.5398853993685293</x:v>
      </x:c>
      <x:c r="R473" s="73" t="str">
        <x:f>INDEX(TrackMap!$B$8:$B$141,H473)</x:f>
        <x:v>发车大直道</x:v>
      </x:c>
    </x:row>
    <x:row r="474" ht="20" customHeight="1">
      <x:c r="A474" s="73" t="n">
        <x:v>77</x:v>
      </x:c>
      <x:c r="B474" s="73" t="n">
        <x:v>5</x:v>
      </x:c>
      <x:c r="C474" s="73" t="str">
        <x:f>INDEX(Drivers!$B$8:$B$13,B474)</x:f>
        <x:v>青锋</x:v>
      </x:c>
      <x:c r="D474" s="83" t="n">
        <x:f>G468</x:f>
        <x:v>258.46386535734314</x:v>
      </x:c>
      <x:c r="E474" s="83" t="str">
        <x:f>IF(A474=0,"GRID",IF(D474&gt;=Control!$B$17,"FINISHED",IF(AND(A474&gt;=INDEX(Drivers!$G$8:$G$13,B474),A474&lt;INDEX(Drivers!$G$8:$G$13,B474)+INDEX(Drivers!$J$8:$J$13,B474)),"PIT",IF(MOD(A474+INDEX(Drivers!$F$8:$F$13,B474),Control!$B$11)&lt;Control!$B$13,"BOOST","RACE"))))</x:f>
        <x:v>RACE</x:v>
      </x:c>
      <x:c r="F474" s="83" t="n">
        <x:f>IF(OR(E474="GRID",E474="FINISHED",E474="PIT"),0,MAX(Control!$B$15,(INDEX(Drivers!$D$8:$D$13,B474)+INDEX(Drivers!$E$8:$E$13,B474)*SIN((A474+INDEX(Drivers!$F$8:$F$13,B474)+Control!$B$16)*Control!$B$14))*INDEX(TrackMap!$M$8:$M$141,MOD(INT(D474)-1,Control!$B$7)+1)*IF(E474="BOOST",Control!$B$12,1)))</x:f>
        <x:v>3.339621228131847</x:v>
      </x:c>
      <x:c r="G474" s="83" t="n">
        <x:f>IF(A474=0,D474,MIN(Control!$B$17,D474+F474))</x:f>
        <x:v>261.80348658547496</x:v>
      </x:c>
      <x:c r="H474" s="73" t="n">
        <x:f>MOD(INT(G474)-1,Control!$B$7)+1</x:f>
        <x:v>127</x:v>
      </x:c>
      <x:c r="I474" s="73" t="n">
        <x:f>MIN(Control!$B$6,MAX(1,INT(MAX(0,G474)/Control!$B$7)+1))</x:f>
        <x:v>2</x:v>
      </x:c>
      <x:c r="J474" s="73" t="n">
        <x:f>INDEX(Drivers!$H$8:$H$13,B474)</x:f>
        <x:v>1</x:v>
      </x:c>
      <x:c r="K474" s="73" t="n">
        <x:f>IF(J474=1,INDEX(TrackMap!$I$8:$I$141,H474),INDEX(TrackMap!$L$8:$L$141,H474))</x:f>
        <x:v>3124</x:v>
      </x:c>
      <x:c r="L474" s="73" t="str">
        <x:f>INDEX(TrackMap!$F$8:$F$141,H474)</x:f>
        <x:v>←</x:v>
      </x:c>
      <x:c r="M474" s="87" t="n">
        <x:f>MAX(0,G474/Control!$B$17)</x:f>
        <x:v>0.39075147251563425</x:v>
      </x:c>
      <x:c r="N474" s="73" t="n">
        <x:f>IF(N468&gt;0,N468,IF(G474&gt;=Control!$B$17,A474,0))</x:f>
        <x:v>0</x:v>
      </x:c>
      <x:c r="O474" s="91" t="n">
        <x:f>IF(N474&gt;0,Control!$B$17+Control!$B$8+1-N474,G474)-B474/100000</x:f>
        <x:v>261.80343658547497</x:v>
      </x:c>
      <x:c r="P474" s="73" t="n">
        <x:f>COUNTIF($O$470:$O$475,"&gt;"&amp;O474)+1</x:f>
        <x:v>5</x:v>
      </x:c>
      <x:c r="Q474" s="83" t="n">
        <x:f>MAX($G$470:$G$475)-G474</x:f>
        <x:v>10.240973752462423</x:v>
      </x:c>
      <x:c r="R474" s="73" t="str">
        <x:f>INDEX(TrackMap!$B$8:$B$141,H474)</x:f>
        <x:v>发车大直道</x:v>
      </x:c>
    </x:row>
    <x:row r="475" ht="20" customHeight="1">
      <x:c r="A475" s="73" t="n">
        <x:v>77</x:v>
      </x:c>
      <x:c r="B475" s="73" t="n">
        <x:v>6</x:v>
      </x:c>
      <x:c r="C475" s="73" t="str">
        <x:f>INDEX(Drivers!$B$8:$B$13,B475)</x:f>
        <x:v>玫速</x:v>
      </x:c>
      <x:c r="D475" s="83" t="n">
        <x:f>G469</x:f>
        <x:v>255.44227085640568</x:v>
      </x:c>
      <x:c r="E475" s="83" t="str">
        <x:f>IF(A475=0,"GRID",IF(D475&gt;=Control!$B$17,"FINISHED",IF(AND(A475&gt;=INDEX(Drivers!$G$8:$G$13,B475),A475&lt;INDEX(Drivers!$G$8:$G$13,B475)+INDEX(Drivers!$J$8:$J$13,B475)),"PIT",IF(MOD(A475+INDEX(Drivers!$F$8:$F$13,B475),Control!$B$11)&lt;Control!$B$13,"BOOST","RACE"))))</x:f>
        <x:v>RACE</x:v>
      </x:c>
      <x:c r="F475" s="83" t="n">
        <x:f>IF(OR(E475="GRID",E475="FINISHED",E475="PIT"),0,MAX(Control!$B$15,(INDEX(Drivers!$D$8:$D$13,B475)+INDEX(Drivers!$E$8:$E$13,B475)*SIN((A475+INDEX(Drivers!$F$8:$F$13,B475)+Control!$B$16)*Control!$B$14))*INDEX(TrackMap!$M$8:$M$141,MOD(INT(D475)-1,Control!$B$7)+1)*IF(E475="BOOST",Control!$B$12,1)))</x:f>
        <x:v>3.704526058873635</x:v>
      </x:c>
      <x:c r="G475" s="83" t="n">
        <x:f>IF(A475=0,D475,MIN(Control!$B$17,D475+F475))</x:f>
        <x:v>259.1467969152793</x:v>
      </x:c>
      <x:c r="H475" s="73" t="n">
        <x:f>MOD(INT(G475)-1,Control!$B$7)+1</x:f>
        <x:v>125</x:v>
      </x:c>
      <x:c r="I475" s="73" t="n">
        <x:f>MIN(Control!$B$6,MAX(1,INT(MAX(0,G475)/Control!$B$7)+1))</x:f>
        <x:v>2</x:v>
      </x:c>
      <x:c r="J475" s="73" t="n">
        <x:f>INDEX(Drivers!$H$8:$H$13,B475)</x:f>
        <x:v>2</x:v>
      </x:c>
      <x:c r="K475" s="73" t="n">
        <x:f>IF(J475=1,INDEX(TrackMap!$I$8:$I$141,H475),INDEX(TrackMap!$L$8:$L$141,H475))</x:f>
        <x:v>3026</x:v>
      </x:c>
      <x:c r="L475" s="73" t="str">
        <x:f>INDEX(TrackMap!$F$8:$F$141,H475)</x:f>
        <x:v>←</x:v>
      </x:c>
      <x:c r="M475" s="87" t="n">
        <x:f>MAX(0,G475/Control!$B$17)</x:f>
        <x:v>0.3867862640526557</x:v>
      </x:c>
      <x:c r="N475" s="73" t="n">
        <x:f>IF(N469&gt;0,N469,IF(G475&gt;=Control!$B$17,A475,0))</x:f>
        <x:v>0</x:v>
      </x:c>
      <x:c r="O475" s="91" t="n">
        <x:f>IF(N475&gt;0,Control!$B$17+Control!$B$8+1-N475,G475)-B475/100000</x:f>
        <x:v>259.1467369152793</x:v>
      </x:c>
      <x:c r="P475" s="73" t="n">
        <x:f>COUNTIF($O$470:$O$475,"&gt;"&amp;O475)+1</x:f>
        <x:v>6</x:v>
      </x:c>
      <x:c r="Q475" s="83" t="n">
        <x:f>MAX($G$470:$G$475)-G475</x:f>
        <x:v>12.89766342265807</x:v>
      </x:c>
      <x:c r="R475" s="73" t="str">
        <x:f>INDEX(TrackMap!$B$8:$B$141,H475)</x:f>
        <x:v>发车大直道</x:v>
      </x:c>
    </x:row>
    <x:row r="476" ht="20" customHeight="1">
      <x:c r="A476" s="73" t="n">
        <x:v>78</x:v>
      </x:c>
      <x:c r="B476" s="73" t="n">
        <x:v>1</x:v>
      </x:c>
      <x:c r="C476" s="73" t="str">
        <x:f>INDEX(Drivers!$B$8:$B$13,B476)</x:f>
        <x:v>赤焰</x:v>
      </x:c>
      <x:c r="D476" s="83" t="n">
        <x:f>G470</x:f>
        <x:v>272.0444603379374</x:v>
      </x:c>
      <x:c r="E476" s="83" t="str">
        <x:f>IF(A476=0,"GRID",IF(D476&gt;=Control!$B$17,"FINISHED",IF(AND(A476&gt;=INDEX(Drivers!$G$8:$G$13,B476),A476&lt;INDEX(Drivers!$G$8:$G$13,B476)+INDEX(Drivers!$J$8:$J$13,B476)),"PIT",IF(MOD(A476+INDEX(Drivers!$F$8:$F$13,B476),Control!$B$11)&lt;Control!$B$13,"BOOST","RACE"))))</x:f>
        <x:v>RACE</x:v>
      </x:c>
      <x:c r="F476" s="83" t="n">
        <x:f>IF(OR(E476="GRID",E476="FINISHED",E476="PIT"),0,MAX(Control!$B$15,(INDEX(Drivers!$D$8:$D$13,B476)+INDEX(Drivers!$E$8:$E$13,B476)*SIN((A476+INDEX(Drivers!$F$8:$F$13,B476)+Control!$B$16)*Control!$B$14))*INDEX(TrackMap!$M$8:$M$141,MOD(INT(D476)-1,Control!$B$7)+1)*IF(E476="BOOST",Control!$B$12,1)))</x:f>
        <x:v>3.9220991438574195</x:v>
      </x:c>
      <x:c r="G476" s="83" t="n">
        <x:f>IF(A476=0,D476,MIN(Control!$B$17,D476+F476))</x:f>
        <x:v>275.9665594817948</x:v>
      </x:c>
      <x:c r="H476" s="73" t="n">
        <x:f>MOD(INT(G476)-1,Control!$B$7)+1</x:f>
        <x:v>7</x:v>
      </x:c>
      <x:c r="I476" s="73" t="n">
        <x:f>MIN(Control!$B$6,MAX(1,INT(MAX(0,G476)/Control!$B$7)+1))</x:f>
        <x:v>3</x:v>
      </x:c>
      <x:c r="J476" s="73" t="n">
        <x:f>INDEX(Drivers!$H$8:$H$13,B476)</x:f>
        <x:v>1</x:v>
      </x:c>
      <x:c r="K476" s="73" t="n">
        <x:f>IF(J476=1,INDEX(TrackMap!$I$8:$I$141,H476),INDEX(TrackMap!$L$8:$L$141,H476))</x:f>
        <x:v>3110</x:v>
      </x:c>
      <x:c r="L476" s="73" t="str">
        <x:f>INDEX(TrackMap!$F$8:$F$141,H476)</x:f>
        <x:v>←</x:v>
      </x:c>
      <x:c r="M476" s="87" t="n">
        <x:f>MAX(0,G476/Control!$B$17)</x:f>
        <x:v>0.4118903872862609</x:v>
      </x:c>
      <x:c r="N476" s="73" t="n">
        <x:f>IF(N470&gt;0,N470,IF(G476&gt;=Control!$B$17,A476,0))</x:f>
        <x:v>0</x:v>
      </x:c>
      <x:c r="O476" s="91" t="n">
        <x:f>IF(N476&gt;0,Control!$B$17+Control!$B$8+1-N476,G476)-B476/100000</x:f>
        <x:v>275.9665494817948</x:v>
      </x:c>
      <x:c r="P476" s="73" t="n">
        <x:f>COUNTIF($O$476:$O$481,"&gt;"&amp;O476)+1</x:f>
        <x:v>1</x:v>
      </x:c>
      <x:c r="Q476" s="83" t="n">
        <x:f>MAX($G$476:$G$481)-G476</x:f>
        <x:v>0</x:v>
      </x:c>
      <x:c r="R476" s="73" t="str">
        <x:f>INDEX(TrackMap!$B$8:$B$141,H476)</x:f>
        <x:v>发车大直道</x:v>
      </x:c>
    </x:row>
    <x:row r="477" ht="20" customHeight="1">
      <x:c r="A477" s="73" t="n">
        <x:v>78</x:v>
      </x:c>
      <x:c r="B477" s="73" t="n">
        <x:v>2</x:v>
      </x:c>
      <x:c r="C477" s="73" t="str">
        <x:f>INDEX(Drivers!$B$8:$B$13,B477)</x:f>
        <x:v>蓝电</x:v>
      </x:c>
      <x:c r="D477" s="83" t="n">
        <x:f>G471</x:f>
        <x:v>262.2097310666245</x:v>
      </x:c>
      <x:c r="E477" s="83" t="str">
        <x:f>IF(A477=0,"GRID",IF(D477&gt;=Control!$B$17,"FINISHED",IF(AND(A477&gt;=INDEX(Drivers!$G$8:$G$13,B477),A477&lt;INDEX(Drivers!$G$8:$G$13,B477)+INDEX(Drivers!$J$8:$J$13,B477)),"PIT",IF(MOD(A477+INDEX(Drivers!$F$8:$F$13,B477),Control!$B$11)&lt;Control!$B$13,"BOOST","RACE"))))</x:f>
        <x:v>RACE</x:v>
      </x:c>
      <x:c r="F477" s="83" t="n">
        <x:f>IF(OR(E477="GRID",E477="FINISHED",E477="PIT"),0,MAX(Control!$B$15,(INDEX(Drivers!$D$8:$D$13,B477)+INDEX(Drivers!$E$8:$E$13,B477)*SIN((A477+INDEX(Drivers!$F$8:$F$13,B477)+Control!$B$16)*Control!$B$14))*INDEX(TrackMap!$M$8:$M$141,MOD(INT(D477)-1,Control!$B$7)+1)*IF(E477="BOOST",Control!$B$12,1)))</x:f>
        <x:v>3.0539357603828443</x:v>
      </x:c>
      <x:c r="G477" s="83" t="n">
        <x:f>IF(A477=0,D477,MIN(Control!$B$17,D477+F477))</x:f>
        <x:v>265.26366682700734</x:v>
      </x:c>
      <x:c r="H477" s="73" t="n">
        <x:f>MOD(INT(G477)-1,Control!$B$7)+1</x:f>
        <x:v>131</x:v>
      </x:c>
      <x:c r="I477" s="73" t="n">
        <x:f>MIN(Control!$B$6,MAX(1,INT(MAX(0,G477)/Control!$B$7)+1))</x:f>
        <x:v>2</x:v>
      </x:c>
      <x:c r="J477" s="73" t="n">
        <x:f>INDEX(Drivers!$H$8:$H$13,B477)</x:f>
        <x:v>2</x:v>
      </x:c>
      <x:c r="K477" s="73" t="n">
        <x:f>IF(J477=1,INDEX(TrackMap!$I$8:$I$141,H477),INDEX(TrackMap!$L$8:$L$141,H477))</x:f>
        <x:v>3020</x:v>
      </x:c>
      <x:c r="L477" s="73" t="str">
        <x:f>INDEX(TrackMap!$F$8:$F$141,H477)</x:f>
        <x:v>←</x:v>
      </x:c>
      <x:c r="M477" s="87" t="n">
        <x:f>MAX(0,G477/Control!$B$17)</x:f>
        <x:v>0.3959159206373244</x:v>
      </x:c>
      <x:c r="N477" s="73" t="n">
        <x:f>IF(N471&gt;0,N471,IF(G477&gt;=Control!$B$17,A477,0))</x:f>
        <x:v>0</x:v>
      </x:c>
      <x:c r="O477" s="91" t="n">
        <x:f>IF(N477&gt;0,Control!$B$17+Control!$B$8+1-N477,G477)-B477/100000</x:f>
        <x:v>265.26364682700734</x:v>
      </x:c>
      <x:c r="P477" s="73" t="n">
        <x:f>COUNTIF($O$476:$O$481,"&gt;"&amp;O477)+1</x:f>
        <x:v>4</x:v>
      </x:c>
      <x:c r="Q477" s="83" t="n">
        <x:f>MAX($G$476:$G$481)-G477</x:f>
        <x:v>10.702892654787433</x:v>
      </x:c>
      <x:c r="R477" s="73" t="str">
        <x:f>INDEX(TrackMap!$B$8:$B$141,H477)</x:f>
        <x:v>发车大直道</x:v>
      </x:c>
    </x:row>
    <x:row r="478" ht="20" customHeight="1">
      <x:c r="A478" s="73" t="n">
        <x:v>78</x:v>
      </x:c>
      <x:c r="B478" s="73" t="n">
        <x:v>3</x:v>
      </x:c>
      <x:c r="C478" s="73" t="str">
        <x:f>INDEX(Drivers!$B$8:$B$13,B478)</x:f>
        <x:v>金翼</x:v>
      </x:c>
      <x:c r="D478" s="83" t="n">
        <x:f>G472</x:f>
        <x:v>268.1768702492219</x:v>
      </x:c>
      <x:c r="E478" s="83" t="str">
        <x:f>IF(A478=0,"GRID",IF(D478&gt;=Control!$B$17,"FINISHED",IF(AND(A478&gt;=INDEX(Drivers!$G$8:$G$13,B478),A478&lt;INDEX(Drivers!$G$8:$G$13,B478)+INDEX(Drivers!$J$8:$J$13,B478)),"PIT",IF(MOD(A478+INDEX(Drivers!$F$8:$F$13,B478),Control!$B$11)&lt;Control!$B$13,"BOOST","RACE"))))</x:f>
        <x:v>BOOST</x:v>
      </x:c>
      <x:c r="F478" s="83" t="n">
        <x:f>IF(OR(E478="GRID",E478="FINISHED",E478="PIT"),0,MAX(Control!$B$15,(INDEX(Drivers!$D$8:$D$13,B478)+INDEX(Drivers!$E$8:$E$13,B478)*SIN((A478+INDEX(Drivers!$F$8:$F$13,B478)+Control!$B$16)*Control!$B$14))*INDEX(TrackMap!$M$8:$M$141,MOD(INT(D478)-1,Control!$B$7)+1)*IF(E478="BOOST",Control!$B$12,1)))</x:f>
        <x:v>4.421944426301767</x:v>
      </x:c>
      <x:c r="G478" s="83" t="n">
        <x:f>IF(A478=0,D478,MIN(Control!$B$17,D478+F478))</x:f>
        <x:v>272.59881467552367</x:v>
      </x:c>
      <x:c r="H478" s="73" t="n">
        <x:f>MOD(INT(G478)-1,Control!$B$7)+1</x:f>
        <x:v>4</x:v>
      </x:c>
      <x:c r="I478" s="73" t="n">
        <x:f>MIN(Control!$B$6,MAX(1,INT(MAX(0,G478)/Control!$B$7)+1))</x:f>
        <x:v>3</x:v>
      </x:c>
      <x:c r="J478" s="73" t="n">
        <x:f>INDEX(Drivers!$H$8:$H$13,B478)</x:f>
        <x:v>1</x:v>
      </x:c>
      <x:c r="K478" s="73" t="n">
        <x:f>IF(J478=1,INDEX(TrackMap!$I$8:$I$141,H478),INDEX(TrackMap!$L$8:$L$141,H478))</x:f>
        <x:v>3113</x:v>
      </x:c>
      <x:c r="L478" s="73" t="str">
        <x:f>INDEX(TrackMap!$F$8:$F$141,H478)</x:f>
        <x:v>←</x:v>
      </x:c>
      <x:c r="M478" s="87" t="n">
        <x:f>MAX(0,G478/Control!$B$17)</x:f>
        <x:v>0.4068639025007816</x:v>
      </x:c>
      <x:c r="N478" s="73" t="n">
        <x:f>IF(N472&gt;0,N472,IF(G478&gt;=Control!$B$17,A478,0))</x:f>
        <x:v>0</x:v>
      </x:c>
      <x:c r="O478" s="91" t="n">
        <x:f>IF(N478&gt;0,Control!$B$17+Control!$B$8+1-N478,G478)-B478/100000</x:f>
        <x:v>272.5987846755237</x:v>
      </x:c>
      <x:c r="P478" s="73" t="n">
        <x:f>COUNTIF($O$476:$O$481,"&gt;"&amp;O478)+1</x:f>
        <x:v>2</x:v>
      </x:c>
      <x:c r="Q478" s="83" t="n">
        <x:f>MAX($G$476:$G$481)-G478</x:f>
        <x:v>3.367744806271105</x:v>
      </x:c>
      <x:c r="R478" s="73" t="str">
        <x:f>INDEX(TrackMap!$B$8:$B$141,H478)</x:f>
        <x:v>发车大直道</x:v>
      </x:c>
    </x:row>
    <x:row r="479" ht="20" customHeight="1">
      <x:c r="A479" s="73" t="n">
        <x:v>78</x:v>
      </x:c>
      <x:c r="B479" s="73" t="n">
        <x:v>4</x:v>
      </x:c>
      <x:c r="C479" s="73" t="str">
        <x:f>INDEX(Drivers!$B$8:$B$13,B479)</x:f>
        <x:v>紫影</x:v>
      </x:c>
      <x:c r="D479" s="83" t="n">
        <x:f>G473</x:f>
        <x:v>269.50457493856885</x:v>
      </x:c>
      <x:c r="E479" s="83" t="str">
        <x:f>IF(A479=0,"GRID",IF(D479&gt;=Control!$B$17,"FINISHED",IF(AND(A479&gt;=INDEX(Drivers!$G$8:$G$13,B479),A479&lt;INDEX(Drivers!$G$8:$G$13,B479)+INDEX(Drivers!$J$8:$J$13,B479)),"PIT",IF(MOD(A479+INDEX(Drivers!$F$8:$F$13,B479),Control!$B$11)&lt;Control!$B$13,"BOOST","RACE"))))</x:f>
        <x:v>RACE</x:v>
      </x:c>
      <x:c r="F479" s="83" t="n">
        <x:f>IF(OR(E479="GRID",E479="FINISHED",E479="PIT"),0,MAX(Control!$B$15,(INDEX(Drivers!$D$8:$D$13,B479)+INDEX(Drivers!$E$8:$E$13,B479)*SIN((A479+INDEX(Drivers!$F$8:$F$13,B479)+Control!$B$16)*Control!$B$14))*INDEX(TrackMap!$M$8:$M$141,MOD(INT(D479)-1,Control!$B$7)+1)*IF(E479="BOOST",Control!$B$12,1)))</x:f>
        <x:v>2.435001964917881</x:v>
      </x:c>
      <x:c r="G479" s="83" t="n">
        <x:f>IF(A479=0,D479,MIN(Control!$B$17,D479+F479))</x:f>
        <x:v>271.93957690348674</x:v>
      </x:c>
      <x:c r="H479" s="73" t="n">
        <x:f>MOD(INT(G479)-1,Control!$B$7)+1</x:f>
        <x:v>3</x:v>
      </x:c>
      <x:c r="I479" s="73" t="n">
        <x:f>MIN(Control!$B$6,MAX(1,INT(MAX(0,G479)/Control!$B$7)+1))</x:f>
        <x:v>3</x:v>
      </x:c>
      <x:c r="J479" s="73" t="n">
        <x:f>INDEX(Drivers!$H$8:$H$13,B479)</x:f>
        <x:v>2</x:v>
      </x:c>
      <x:c r="K479" s="73" t="n">
        <x:f>IF(J479=1,INDEX(TrackMap!$I$8:$I$141,H479),INDEX(TrackMap!$L$8:$L$141,H479))</x:f>
        <x:v>3014</x:v>
      </x:c>
      <x:c r="L479" s="73" t="str">
        <x:f>INDEX(TrackMap!$F$8:$F$141,H479)</x:f>
        <x:v>←</x:v>
      </x:c>
      <x:c r="M479" s="87" t="n">
        <x:f>MAX(0,G479/Control!$B$17)</x:f>
        <x:v>0.40587996552759215</x:v>
      </x:c>
      <x:c r="N479" s="73" t="n">
        <x:f>IF(N473&gt;0,N473,IF(G479&gt;=Control!$B$17,A479,0))</x:f>
        <x:v>0</x:v>
      </x:c>
      <x:c r="O479" s="91" t="n">
        <x:f>IF(N479&gt;0,Control!$B$17+Control!$B$8+1-N479,G479)-B479/100000</x:f>
        <x:v>271.9395369034867</x:v>
      </x:c>
      <x:c r="P479" s="73" t="n">
        <x:f>COUNTIF($O$476:$O$481,"&gt;"&amp;O479)+1</x:f>
        <x:v>3</x:v>
      </x:c>
      <x:c r="Q479" s="83" t="n">
        <x:f>MAX($G$476:$G$481)-G479</x:f>
        <x:v>4.026982578308036</x:v>
      </x:c>
      <x:c r="R479" s="73" t="str">
        <x:f>INDEX(TrackMap!$B$8:$B$141,H479)</x:f>
        <x:v>发车大直道</x:v>
      </x:c>
    </x:row>
    <x:row r="480" ht="20" customHeight="1">
      <x:c r="A480" s="73" t="n">
        <x:v>78</x:v>
      </x:c>
      <x:c r="B480" s="73" t="n">
        <x:v>5</x:v>
      </x:c>
      <x:c r="C480" s="73" t="str">
        <x:f>INDEX(Drivers!$B$8:$B$13,B480)</x:f>
        <x:v>青锋</x:v>
      </x:c>
      <x:c r="D480" s="83" t="n">
        <x:f>G474</x:f>
        <x:v>261.80348658547496</x:v>
      </x:c>
      <x:c r="E480" s="83" t="str">
        <x:f>IF(A480=0,"GRID",IF(D480&gt;=Control!$B$17,"FINISHED",IF(AND(A480&gt;=INDEX(Drivers!$G$8:$G$13,B480),A480&lt;INDEX(Drivers!$G$8:$G$13,B480)+INDEX(Drivers!$J$8:$J$13,B480)),"PIT",IF(MOD(A480+INDEX(Drivers!$F$8:$F$13,B480),Control!$B$11)&lt;Control!$B$13,"BOOST","RACE"))))</x:f>
        <x:v>RACE</x:v>
      </x:c>
      <x:c r="F480" s="83" t="n">
        <x:f>IF(OR(E480="GRID",E480="FINISHED",E480="PIT"),0,MAX(Control!$B$15,(INDEX(Drivers!$D$8:$D$13,B480)+INDEX(Drivers!$E$8:$E$13,B480)*SIN((A480+INDEX(Drivers!$F$8:$F$13,B480)+Control!$B$16)*Control!$B$14))*INDEX(TrackMap!$M$8:$M$141,MOD(INT(D480)-1,Control!$B$7)+1)*IF(E480="BOOST",Control!$B$12,1)))</x:f>
        <x:v>3.2032818429771734</x:v>
      </x:c>
      <x:c r="G480" s="83" t="n">
        <x:f>IF(A480=0,D480,MIN(Control!$B$17,D480+F480))</x:f>
        <x:v>265.0067684284521</x:v>
      </x:c>
      <x:c r="H480" s="73" t="n">
        <x:f>MOD(INT(G480)-1,Control!$B$7)+1</x:f>
        <x:v>131</x:v>
      </x:c>
      <x:c r="I480" s="73" t="n">
        <x:f>MIN(Control!$B$6,MAX(1,INT(MAX(0,G480)/Control!$B$7)+1))</x:f>
        <x:v>2</x:v>
      </x:c>
      <x:c r="J480" s="73" t="n">
        <x:f>INDEX(Drivers!$H$8:$H$13,B480)</x:f>
        <x:v>1</x:v>
      </x:c>
      <x:c r="K480" s="73" t="n">
        <x:f>IF(J480=1,INDEX(TrackMap!$I$8:$I$141,H480),INDEX(TrackMap!$L$8:$L$141,H480))</x:f>
        <x:v>3120</x:v>
      </x:c>
      <x:c r="L480" s="73" t="str">
        <x:f>INDEX(TrackMap!$F$8:$F$141,H480)</x:f>
        <x:v>←</x:v>
      </x:c>
      <x:c r="M480" s="87" t="n">
        <x:f>MAX(0,G480/Control!$B$17)</x:f>
        <x:v>0.3955324901917196</x:v>
      </x:c>
      <x:c r="N480" s="73" t="n">
        <x:f>IF(N474&gt;0,N474,IF(G480&gt;=Control!$B$17,A480,0))</x:f>
        <x:v>0</x:v>
      </x:c>
      <x:c r="O480" s="91" t="n">
        <x:f>IF(N480&gt;0,Control!$B$17+Control!$B$8+1-N480,G480)-B480/100000</x:f>
        <x:v>265.00671842845213</x:v>
      </x:c>
      <x:c r="P480" s="73" t="n">
        <x:f>COUNTIF($O$476:$O$481,"&gt;"&amp;O480)+1</x:f>
        <x:v>5</x:v>
      </x:c>
      <x:c r="Q480" s="83" t="n">
        <x:f>MAX($G$476:$G$481)-G480</x:f>
        <x:v>10.959791053342656</x:v>
      </x:c>
      <x:c r="R480" s="73" t="str">
        <x:f>INDEX(TrackMap!$B$8:$B$141,H480)</x:f>
        <x:v>发车大直道</x:v>
      </x:c>
    </x:row>
    <x:row r="481" ht="20" customHeight="1">
      <x:c r="A481" s="73" t="n">
        <x:v>78</x:v>
      </x:c>
      <x:c r="B481" s="73" t="n">
        <x:v>6</x:v>
      </x:c>
      <x:c r="C481" s="73" t="str">
        <x:f>INDEX(Drivers!$B$8:$B$13,B481)</x:f>
        <x:v>玫速</x:v>
      </x:c>
      <x:c r="D481" s="83" t="n">
        <x:f>G475</x:f>
        <x:v>259.1467969152793</x:v>
      </x:c>
      <x:c r="E481" s="83" t="str">
        <x:f>IF(A481=0,"GRID",IF(D481&gt;=Control!$B$17,"FINISHED",IF(AND(A481&gt;=INDEX(Drivers!$G$8:$G$13,B481),A481&lt;INDEX(Drivers!$G$8:$G$13,B481)+INDEX(Drivers!$J$8:$J$13,B481)),"PIT",IF(MOD(A481+INDEX(Drivers!$F$8:$F$13,B481),Control!$B$11)&lt;Control!$B$13,"BOOST","RACE"))))</x:f>
        <x:v>RACE</x:v>
      </x:c>
      <x:c r="F481" s="83" t="n">
        <x:f>IF(OR(E481="GRID",E481="FINISHED",E481="PIT"),0,MAX(Control!$B$15,(INDEX(Drivers!$D$8:$D$13,B481)+INDEX(Drivers!$E$8:$E$13,B481)*SIN((A481+INDEX(Drivers!$F$8:$F$13,B481)+Control!$B$16)*Control!$B$14))*INDEX(TrackMap!$M$8:$M$141,MOD(INT(D481)-1,Control!$B$7)+1)*IF(E481="BOOST",Control!$B$12,1)))</x:f>
        <x:v>3.9196542307213</x:v>
      </x:c>
      <x:c r="G481" s="83" t="n">
        <x:f>IF(A481=0,D481,MIN(Control!$B$17,D481+F481))</x:f>
        <x:v>263.0664511460006</x:v>
      </x:c>
      <x:c r="H481" s="73" t="n">
        <x:f>MOD(INT(G481)-1,Control!$B$7)+1</x:f>
        <x:v>129</x:v>
      </x:c>
      <x:c r="I481" s="73" t="n">
        <x:f>MIN(Control!$B$6,MAX(1,INT(MAX(0,G481)/Control!$B$7)+1))</x:f>
        <x:v>2</x:v>
      </x:c>
      <x:c r="J481" s="73" t="n">
        <x:f>INDEX(Drivers!$H$8:$H$13,B481)</x:f>
        <x:v>2</x:v>
      </x:c>
      <x:c r="K481" s="73" t="n">
        <x:f>IF(J481=1,INDEX(TrackMap!$I$8:$I$141,H481),INDEX(TrackMap!$L$8:$L$141,H481))</x:f>
        <x:v>3022</x:v>
      </x:c>
      <x:c r="L481" s="73" t="str">
        <x:f>INDEX(TrackMap!$F$8:$F$141,H481)</x:f>
        <x:v>←</x:v>
      </x:c>
      <x:c r="M481" s="87" t="n">
        <x:f>MAX(0,G481/Control!$B$17)</x:f>
        <x:v>0.3926364942477621</x:v>
      </x:c>
      <x:c r="N481" s="73" t="n">
        <x:f>IF(N475&gt;0,N475,IF(G481&gt;=Control!$B$17,A481,0))</x:f>
        <x:v>0</x:v>
      </x:c>
      <x:c r="O481" s="91" t="n">
        <x:f>IF(N481&gt;0,Control!$B$17+Control!$B$8+1-N481,G481)-B481/100000</x:f>
        <x:v>263.06639114600057</x:v>
      </x:c>
      <x:c r="P481" s="73" t="n">
        <x:f>COUNTIF($O$476:$O$481,"&gt;"&amp;O481)+1</x:f>
        <x:v>6</x:v>
      </x:c>
      <x:c r="Q481" s="83" t="n">
        <x:f>MAX($G$476:$G$481)-G481</x:f>
        <x:v>12.900108335794187</x:v>
      </x:c>
      <x:c r="R481" s="73" t="str">
        <x:f>INDEX(TrackMap!$B$8:$B$141,H481)</x:f>
        <x:v>发车大直道</x:v>
      </x:c>
    </x:row>
    <x:row r="482" ht="20" customHeight="1">
      <x:c r="A482" s="73" t="n">
        <x:v>79</x:v>
      </x:c>
      <x:c r="B482" s="73" t="n">
        <x:v>1</x:v>
      </x:c>
      <x:c r="C482" s="73" t="str">
        <x:f>INDEX(Drivers!$B$8:$B$13,B482)</x:f>
        <x:v>赤焰</x:v>
      </x:c>
      <x:c r="D482" s="83" t="n">
        <x:f>G476</x:f>
        <x:v>275.9665594817948</x:v>
      </x:c>
      <x:c r="E482" s="83" t="str">
        <x:f>IF(A482=0,"GRID",IF(D482&gt;=Control!$B$17,"FINISHED",IF(AND(A482&gt;=INDEX(Drivers!$G$8:$G$13,B482),A482&lt;INDEX(Drivers!$G$8:$G$13,B482)+INDEX(Drivers!$J$8:$J$13,B482)),"PIT",IF(MOD(A482+INDEX(Drivers!$F$8:$F$13,B482),Control!$B$11)&lt;Control!$B$13,"BOOST","RACE"))))</x:f>
        <x:v>RACE</x:v>
      </x:c>
      <x:c r="F482" s="83" t="n">
        <x:f>IF(OR(E482="GRID",E482="FINISHED",E482="PIT"),0,MAX(Control!$B$15,(INDEX(Drivers!$D$8:$D$13,B482)+INDEX(Drivers!$E$8:$E$13,B482)*SIN((A482+INDEX(Drivers!$F$8:$F$13,B482)+Control!$B$16)*Control!$B$14))*INDEX(TrackMap!$M$8:$M$141,MOD(INT(D482)-1,Control!$B$7)+1)*IF(E482="BOOST",Control!$B$12,1)))</x:f>
        <x:v>3.730841596799134</x:v>
      </x:c>
      <x:c r="G482" s="83" t="n">
        <x:f>IF(A482=0,D482,MIN(Control!$B$17,D482+F482))</x:f>
        <x:v>279.6974010785939</x:v>
      </x:c>
      <x:c r="H482" s="73" t="n">
        <x:f>MOD(INT(G482)-1,Control!$B$7)+1</x:f>
        <x:v>11</x:v>
      </x:c>
      <x:c r="I482" s="73" t="n">
        <x:f>MIN(Control!$B$6,MAX(1,INT(MAX(0,G482)/Control!$B$7)+1))</x:f>
        <x:v>3</x:v>
      </x:c>
      <x:c r="J482" s="73" t="n">
        <x:f>INDEX(Drivers!$H$8:$H$13,B482)</x:f>
        <x:v>1</x:v>
      </x:c>
      <x:c r="K482" s="73" t="n">
        <x:f>IF(J482=1,INDEX(TrackMap!$I$8:$I$141,H482),INDEX(TrackMap!$L$8:$L$141,H482))</x:f>
        <x:v>3106</x:v>
      </x:c>
      <x:c r="L482" s="73" t="str">
        <x:f>INDEX(TrackMap!$F$8:$F$141,H482)</x:f>
        <x:v>←</x:v>
      </x:c>
      <x:c r="M482" s="87" t="n">
        <x:f>MAX(0,G482/Control!$B$17)</x:f>
        <x:v>0.4174588075799909</x:v>
      </x:c>
      <x:c r="N482" s="73" t="n">
        <x:f>IF(N476&gt;0,N476,IF(G482&gt;=Control!$B$17,A482,0))</x:f>
        <x:v>0</x:v>
      </x:c>
      <x:c r="O482" s="91" t="n">
        <x:f>IF(N482&gt;0,Control!$B$17+Control!$B$8+1-N482,G482)-B482/100000</x:f>
        <x:v>279.6973910785939</x:v>
      </x:c>
      <x:c r="P482" s="73" t="n">
        <x:f>COUNTIF($O$482:$O$487,"&gt;"&amp;O482)+1</x:f>
        <x:v>1</x:v>
      </x:c>
      <x:c r="Q482" s="83" t="n">
        <x:f>MAX($G$482:$G$487)-G482</x:f>
        <x:v>0</x:v>
      </x:c>
      <x:c r="R482" s="73" t="str">
        <x:f>INDEX(TrackMap!$B$8:$B$141,H482)</x:f>
        <x:v>发车大直道</x:v>
      </x:c>
    </x:row>
    <x:row r="483" ht="20" customHeight="1">
      <x:c r="A483" s="73" t="n">
        <x:v>79</x:v>
      </x:c>
      <x:c r="B483" s="73" t="n">
        <x:v>2</x:v>
      </x:c>
      <x:c r="C483" s="73" t="str">
        <x:f>INDEX(Drivers!$B$8:$B$13,B483)</x:f>
        <x:v>蓝电</x:v>
      </x:c>
      <x:c r="D483" s="83" t="n">
        <x:f>G477</x:f>
        <x:v>265.26366682700734</x:v>
      </x:c>
      <x:c r="E483" s="83" t="str">
        <x:f>IF(A483=0,"GRID",IF(D483&gt;=Control!$B$17,"FINISHED",IF(AND(A483&gt;=INDEX(Drivers!$G$8:$G$13,B483),A483&lt;INDEX(Drivers!$G$8:$G$13,B483)+INDEX(Drivers!$J$8:$J$13,B483)),"PIT",IF(MOD(A483+INDEX(Drivers!$F$8:$F$13,B483),Control!$B$11)&lt;Control!$B$13,"BOOST","RACE"))))</x:f>
        <x:v>RACE</x:v>
      </x:c>
      <x:c r="F483" s="83" t="n">
        <x:f>IF(OR(E483="GRID",E483="FINISHED",E483="PIT"),0,MAX(Control!$B$15,(INDEX(Drivers!$D$8:$D$13,B483)+INDEX(Drivers!$E$8:$E$13,B483)*SIN((A483+INDEX(Drivers!$F$8:$F$13,B483)+Control!$B$16)*Control!$B$14))*INDEX(TrackMap!$M$8:$M$141,MOD(INT(D483)-1,Control!$B$7)+1)*IF(E483="BOOST",Control!$B$12,1)))</x:f>
        <x:v>3.1938771199858005</x:v>
      </x:c>
      <x:c r="G483" s="83" t="n">
        <x:f>IF(A483=0,D483,MIN(Control!$B$17,D483+F483))</x:f>
        <x:v>268.45754394699316</x:v>
      </x:c>
      <x:c r="H483" s="73" t="n">
        <x:f>MOD(INT(G483)-1,Control!$B$7)+1</x:f>
        <x:v>134</x:v>
      </x:c>
      <x:c r="I483" s="73" t="n">
        <x:f>MIN(Control!$B$6,MAX(1,INT(MAX(0,G483)/Control!$B$7)+1))</x:f>
        <x:v>3</x:v>
      </x:c>
      <x:c r="J483" s="73" t="n">
        <x:f>INDEX(Drivers!$H$8:$H$13,B483)</x:f>
        <x:v>2</x:v>
      </x:c>
      <x:c r="K483" s="73" t="n">
        <x:f>IF(J483=1,INDEX(TrackMap!$I$8:$I$141,H483),INDEX(TrackMap!$L$8:$L$141,H483))</x:f>
        <x:v>3017</x:v>
      </x:c>
      <x:c r="L483" s="73" t="str">
        <x:f>INDEX(TrackMap!$F$8:$F$141,H483)</x:f>
        <x:v>←</x:v>
      </x:c>
      <x:c r="M483" s="87" t="n">
        <x:f>MAX(0,G483/Control!$B$17)</x:f>
        <x:v>0.4006829014134226</x:v>
      </x:c>
      <x:c r="N483" s="73" t="n">
        <x:f>IF(N477&gt;0,N477,IF(G483&gt;=Control!$B$17,A483,0))</x:f>
        <x:v>0</x:v>
      </x:c>
      <x:c r="O483" s="91" t="n">
        <x:f>IF(N483&gt;0,Control!$B$17+Control!$B$8+1-N483,G483)-B483/100000</x:f>
        <x:v>268.45752394699315</x:v>
      </x:c>
      <x:c r="P483" s="73" t="n">
        <x:f>COUNTIF($O$482:$O$487,"&gt;"&amp;O483)+1</x:f>
        <x:v>5</x:v>
      </x:c>
      <x:c r="Q483" s="83" t="n">
        <x:f>MAX($G$482:$G$487)-G483</x:f>
        <x:v>11.23985713160073</x:v>
      </x:c>
      <x:c r="R483" s="73" t="str">
        <x:f>INDEX(TrackMap!$B$8:$B$141,H483)</x:f>
        <x:v>发车大直道</x:v>
      </x:c>
    </x:row>
    <x:row r="484" ht="20" customHeight="1">
      <x:c r="A484" s="73" t="n">
        <x:v>79</x:v>
      </x:c>
      <x:c r="B484" s="73" t="n">
        <x:v>3</x:v>
      </x:c>
      <x:c r="C484" s="73" t="str">
        <x:f>INDEX(Drivers!$B$8:$B$13,B484)</x:f>
        <x:v>金翼</x:v>
      </x:c>
      <x:c r="D484" s="83" t="n">
        <x:f>G478</x:f>
        <x:v>272.59881467552367</x:v>
      </x:c>
      <x:c r="E484" s="83" t="str">
        <x:f>IF(A484=0,"GRID",IF(D484&gt;=Control!$B$17,"FINISHED",IF(AND(A484&gt;=INDEX(Drivers!$G$8:$G$13,B484),A484&lt;INDEX(Drivers!$G$8:$G$13,B484)+INDEX(Drivers!$J$8:$J$13,B484)),"PIT",IF(MOD(A484+INDEX(Drivers!$F$8:$F$13,B484),Control!$B$11)&lt;Control!$B$13,"BOOST","RACE"))))</x:f>
        <x:v>BOOST</x:v>
      </x:c>
      <x:c r="F484" s="83" t="n">
        <x:f>IF(OR(E484="GRID",E484="FINISHED",E484="PIT"),0,MAX(Control!$B$15,(INDEX(Drivers!$D$8:$D$13,B484)+INDEX(Drivers!$E$8:$E$13,B484)*SIN((A484+INDEX(Drivers!$F$8:$F$13,B484)+Control!$B$16)*Control!$B$14))*INDEX(TrackMap!$M$8:$M$141,MOD(INT(D484)-1,Control!$B$7)+1)*IF(E484="BOOST",Control!$B$12,1)))</x:f>
        <x:v>5.635714405990103</x:v>
      </x:c>
      <x:c r="G484" s="83" t="n">
        <x:f>IF(A484=0,D484,MIN(Control!$B$17,D484+F484))</x:f>
        <x:v>278.23452908151376</x:v>
      </x:c>
      <x:c r="H484" s="73" t="n">
        <x:f>MOD(INT(G484)-1,Control!$B$7)+1</x:f>
        <x:v>10</x:v>
      </x:c>
      <x:c r="I484" s="73" t="n">
        <x:f>MIN(Control!$B$6,MAX(1,INT(MAX(0,G484)/Control!$B$7)+1))</x:f>
        <x:v>3</x:v>
      </x:c>
      <x:c r="J484" s="73" t="n">
        <x:f>INDEX(Drivers!$H$8:$H$13,B484)</x:f>
        <x:v>1</x:v>
      </x:c>
      <x:c r="K484" s="73" t="n">
        <x:f>IF(J484=1,INDEX(TrackMap!$I$8:$I$141,H484),INDEX(TrackMap!$L$8:$L$141,H484))</x:f>
        <x:v>3107</x:v>
      </x:c>
      <x:c r="L484" s="73" t="str">
        <x:f>INDEX(TrackMap!$F$8:$F$141,H484)</x:f>
        <x:v>←</x:v>
      </x:c>
      <x:c r="M484" s="87" t="n">
        <x:f>MAX(0,G484/Control!$B$17)</x:f>
        <x:v>0.4152754165395728</x:v>
      </x:c>
      <x:c r="N484" s="73" t="n">
        <x:f>IF(N478&gt;0,N478,IF(G484&gt;=Control!$B$17,A484,0))</x:f>
        <x:v>0</x:v>
      </x:c>
      <x:c r="O484" s="91" t="n">
        <x:f>IF(N484&gt;0,Control!$B$17+Control!$B$8+1-N484,G484)-B484/100000</x:f>
        <x:v>278.2344990815138</x:v>
      </x:c>
      <x:c r="P484" s="73" t="n">
        <x:f>COUNTIF($O$482:$O$487,"&gt;"&amp;O484)+1</x:f>
        <x:v>2</x:v>
      </x:c>
      <x:c r="Q484" s="83" t="n">
        <x:f>MAX($G$482:$G$487)-G484</x:f>
        <x:v>1.4628719970801285</x:v>
      </x:c>
      <x:c r="R484" s="73" t="str">
        <x:f>INDEX(TrackMap!$B$8:$B$141,H484)</x:f>
        <x:v>发车大直道</x:v>
      </x:c>
    </x:row>
    <x:row r="485" ht="20" customHeight="1">
      <x:c r="A485" s="73" t="n">
        <x:v>79</x:v>
      </x:c>
      <x:c r="B485" s="73" t="n">
        <x:v>4</x:v>
      </x:c>
      <x:c r="C485" s="73" t="str">
        <x:f>INDEX(Drivers!$B$8:$B$13,B485)</x:f>
        <x:v>紫影</x:v>
      </x:c>
      <x:c r="D485" s="83" t="n">
        <x:f>G479</x:f>
        <x:v>271.93957690348674</x:v>
      </x:c>
      <x:c r="E485" s="83" t="str">
        <x:f>IF(A485=0,"GRID",IF(D485&gt;=Control!$B$17,"FINISHED",IF(AND(A485&gt;=INDEX(Drivers!$G$8:$G$13,B485),A485&lt;INDEX(Drivers!$G$8:$G$13,B485)+INDEX(Drivers!$J$8:$J$13,B485)),"PIT",IF(MOD(A485+INDEX(Drivers!$F$8:$F$13,B485),Control!$B$11)&lt;Control!$B$13,"BOOST","RACE"))))</x:f>
        <x:v>RACE</x:v>
      </x:c>
      <x:c r="F485" s="83" t="n">
        <x:f>IF(OR(E485="GRID",E485="FINISHED",E485="PIT"),0,MAX(Control!$B$15,(INDEX(Drivers!$D$8:$D$13,B485)+INDEX(Drivers!$E$8:$E$13,B485)*SIN((A485+INDEX(Drivers!$F$8:$F$13,B485)+Control!$B$16)*Control!$B$14))*INDEX(TrackMap!$M$8:$M$141,MOD(INT(D485)-1,Control!$B$7)+1)*IF(E485="BOOST",Control!$B$12,1)))</x:f>
        <x:v>3.0354725761667067</x:v>
      </x:c>
      <x:c r="G485" s="83" t="n">
        <x:f>IF(A485=0,D485,MIN(Control!$B$17,D485+F485))</x:f>
        <x:v>274.9750494796534</x:v>
      </x:c>
      <x:c r="H485" s="73" t="n">
        <x:f>MOD(INT(G485)-1,Control!$B$7)+1</x:f>
        <x:v>6</x:v>
      </x:c>
      <x:c r="I485" s="73" t="n">
        <x:f>MIN(Control!$B$6,MAX(1,INT(MAX(0,G485)/Control!$B$7)+1))</x:f>
        <x:v>3</x:v>
      </x:c>
      <x:c r="J485" s="73" t="n">
        <x:f>INDEX(Drivers!$H$8:$H$13,B485)</x:f>
        <x:v>2</x:v>
      </x:c>
      <x:c r="K485" s="73" t="n">
        <x:f>IF(J485=1,INDEX(TrackMap!$I$8:$I$141,H485),INDEX(TrackMap!$L$8:$L$141,H485))</x:f>
        <x:v>3011</x:v>
      </x:c>
      <x:c r="L485" s="73" t="str">
        <x:f>INDEX(TrackMap!$F$8:$F$141,H485)</x:f>
        <x:v>←</x:v>
      </x:c>
      <x:c r="M485" s="87" t="n">
        <x:f>MAX(0,G485/Control!$B$17)</x:f>
        <x:v>0.410410521611423</x:v>
      </x:c>
      <x:c r="N485" s="73" t="n">
        <x:f>IF(N479&gt;0,N479,IF(G485&gt;=Control!$B$17,A485,0))</x:f>
        <x:v>0</x:v>
      </x:c>
      <x:c r="O485" s="91" t="n">
        <x:f>IF(N485&gt;0,Control!$B$17+Control!$B$8+1-N485,G485)-B485/100000</x:f>
        <x:v>274.9750094796534</x:v>
      </x:c>
      <x:c r="P485" s="73" t="n">
        <x:f>COUNTIF($O$482:$O$487,"&gt;"&amp;O485)+1</x:f>
        <x:v>3</x:v>
      </x:c>
      <x:c r="Q485" s="83" t="n">
        <x:f>MAX($G$482:$G$487)-G485</x:f>
        <x:v>4.722351598940463</x:v>
      </x:c>
      <x:c r="R485" s="73" t="str">
        <x:f>INDEX(TrackMap!$B$8:$B$141,H485)</x:f>
        <x:v>发车大直道</x:v>
      </x:c>
    </x:row>
    <x:row r="486" ht="20" customHeight="1">
      <x:c r="A486" s="73" t="n">
        <x:v>79</x:v>
      </x:c>
      <x:c r="B486" s="73" t="n">
        <x:v>5</x:v>
      </x:c>
      <x:c r="C486" s="73" t="str">
        <x:f>INDEX(Drivers!$B$8:$B$13,B486)</x:f>
        <x:v>青锋</x:v>
      </x:c>
      <x:c r="D486" s="83" t="n">
        <x:f>G480</x:f>
        <x:v>265.0067684284521</x:v>
      </x:c>
      <x:c r="E486" s="83" t="str">
        <x:f>IF(A486=0,"GRID",IF(D486&gt;=Control!$B$17,"FINISHED",IF(AND(A486&gt;=INDEX(Drivers!$G$8:$G$13,B486),A486&lt;INDEX(Drivers!$G$8:$G$13,B486)+INDEX(Drivers!$J$8:$J$13,B486)),"PIT",IF(MOD(A486+INDEX(Drivers!$F$8:$F$13,B486),Control!$B$11)&lt;Control!$B$13,"BOOST","RACE"))))</x:f>
        <x:v>RACE</x:v>
      </x:c>
      <x:c r="F486" s="83" t="n">
        <x:f>IF(OR(E486="GRID",E486="FINISHED",E486="PIT"),0,MAX(Control!$B$15,(INDEX(Drivers!$D$8:$D$13,B486)+INDEX(Drivers!$E$8:$E$13,B486)*SIN((A486+INDEX(Drivers!$F$8:$F$13,B486)+Control!$B$16)*Control!$B$14))*INDEX(TrackMap!$M$8:$M$141,MOD(INT(D486)-1,Control!$B$7)+1)*IF(E486="BOOST",Control!$B$12,1)))</x:f>
        <x:v>3.1246967585501704</x:v>
      </x:c>
      <x:c r="G486" s="83" t="n">
        <x:f>IF(A486=0,D486,MIN(Control!$B$17,D486+F486))</x:f>
        <x:v>268.1314651870023</x:v>
      </x:c>
      <x:c r="H486" s="73" t="n">
        <x:f>MOD(INT(G486)-1,Control!$B$7)+1</x:f>
        <x:v>134</x:v>
      </x:c>
      <x:c r="I486" s="73" t="n">
        <x:f>MIN(Control!$B$6,MAX(1,INT(MAX(0,G486)/Control!$B$7)+1))</x:f>
        <x:v>3</x:v>
      </x:c>
      <x:c r="J486" s="73" t="n">
        <x:f>INDEX(Drivers!$H$8:$H$13,B486)</x:f>
        <x:v>1</x:v>
      </x:c>
      <x:c r="K486" s="73" t="n">
        <x:f>IF(J486=1,INDEX(TrackMap!$I$8:$I$141,H486),INDEX(TrackMap!$L$8:$L$141,H486))</x:f>
        <x:v>3117</x:v>
      </x:c>
      <x:c r="L486" s="73" t="str">
        <x:f>INDEX(TrackMap!$F$8:$F$141,H486)</x:f>
        <x:v>←</x:v>
      </x:c>
      <x:c r="M486" s="87" t="n">
        <x:f>MAX(0,G486/Control!$B$17)</x:f>
        <x:v>0.4001962166970183</x:v>
      </x:c>
      <x:c r="N486" s="73" t="n">
        <x:f>IF(N480&gt;0,N480,IF(G486&gt;=Control!$B$17,A486,0))</x:f>
        <x:v>0</x:v>
      </x:c>
      <x:c r="O486" s="91" t="n">
        <x:f>IF(N486&gt;0,Control!$B$17+Control!$B$8+1-N486,G486)-B486/100000</x:f>
        <x:v>268.1314151870023</x:v>
      </x:c>
      <x:c r="P486" s="73" t="n">
        <x:f>COUNTIF($O$482:$O$487,"&gt;"&amp;O486)+1</x:f>
        <x:v>6</x:v>
      </x:c>
      <x:c r="Q486" s="83" t="n">
        <x:f>MAX($G$482:$G$487)-G486</x:f>
        <x:v>11.565935891591607</x:v>
      </x:c>
      <x:c r="R486" s="73" t="str">
        <x:f>INDEX(TrackMap!$B$8:$B$141,H486)</x:f>
        <x:v>发车大直道</x:v>
      </x:c>
    </x:row>
    <x:row r="487" ht="20" customHeight="1">
      <x:c r="A487" s="73" t="n">
        <x:v>79</x:v>
      </x:c>
      <x:c r="B487" s="73" t="n">
        <x:v>6</x:v>
      </x:c>
      <x:c r="C487" s="73" t="str">
        <x:f>INDEX(Drivers!$B$8:$B$13,B487)</x:f>
        <x:v>玫速</x:v>
      </x:c>
      <x:c r="D487" s="83" t="n">
        <x:f>G481</x:f>
        <x:v>263.0664511460006</x:v>
      </x:c>
      <x:c r="E487" s="83" t="str">
        <x:f>IF(A487=0,"GRID",IF(D487&gt;=Control!$B$17,"FINISHED",IF(AND(A487&gt;=INDEX(Drivers!$G$8:$G$13,B487),A487&lt;INDEX(Drivers!$G$8:$G$13,B487)+INDEX(Drivers!$J$8:$J$13,B487)),"PIT",IF(MOD(A487+INDEX(Drivers!$F$8:$F$13,B487),Control!$B$11)&lt;Control!$B$13,"BOOST","RACE"))))</x:f>
        <x:v>BOOST</x:v>
      </x:c>
      <x:c r="F487" s="83" t="n">
        <x:f>IF(OR(E487="GRID",E487="FINISHED",E487="PIT"),0,MAX(Control!$B$15,(INDEX(Drivers!$D$8:$D$13,B487)+INDEX(Drivers!$E$8:$E$13,B487)*SIN((A487+INDEX(Drivers!$F$8:$F$13,B487)+Control!$B$16)*Control!$B$14))*INDEX(TrackMap!$M$8:$M$141,MOD(INT(D487)-1,Control!$B$7)+1)*IF(E487="BOOST",Control!$B$12,1)))</x:f>
        <x:v>5.538167541058038</x:v>
      </x:c>
      <x:c r="G487" s="83" t="n">
        <x:f>IF(A487=0,D487,MIN(Control!$B$17,D487+F487))</x:f>
        <x:v>268.60461868705863</x:v>
      </x:c>
      <x:c r="H487" s="73" t="n">
        <x:f>MOD(INT(G487)-1,Control!$B$7)+1</x:f>
        <x:v>134</x:v>
      </x:c>
      <x:c r="I487" s="73" t="n">
        <x:f>MIN(Control!$B$6,MAX(1,INT(MAX(0,G487)/Control!$B$7)+1))</x:f>
        <x:v>3</x:v>
      </x:c>
      <x:c r="J487" s="73" t="n">
        <x:f>INDEX(Drivers!$H$8:$H$13,B487)</x:f>
        <x:v>2</x:v>
      </x:c>
      <x:c r="K487" s="73" t="n">
        <x:f>IF(J487=1,INDEX(TrackMap!$I$8:$I$141,H487),INDEX(TrackMap!$L$8:$L$141,H487))</x:f>
        <x:v>3017</x:v>
      </x:c>
      <x:c r="L487" s="73" t="str">
        <x:f>INDEX(TrackMap!$F$8:$F$141,H487)</x:f>
        <x:v>←</x:v>
      </x:c>
      <x:c r="M487" s="87" t="n">
        <x:f>MAX(0,G487/Control!$B$17)</x:f>
        <x:v>0.40090241595083376</x:v>
      </x:c>
      <x:c r="N487" s="73" t="n">
        <x:f>IF(N481&gt;0,N481,IF(G487&gt;=Control!$B$17,A487,0))</x:f>
        <x:v>0</x:v>
      </x:c>
      <x:c r="O487" s="91" t="n">
        <x:f>IF(N487&gt;0,Control!$B$17+Control!$B$8+1-N487,G487)-B487/100000</x:f>
        <x:v>268.6045586870586</x:v>
      </x:c>
      <x:c r="P487" s="73" t="n">
        <x:f>COUNTIF($O$482:$O$487,"&gt;"&amp;O487)+1</x:f>
        <x:v>4</x:v>
      </x:c>
      <x:c r="Q487" s="83" t="n">
        <x:f>MAX($G$482:$G$487)-G487</x:f>
        <x:v>11.092782391535252</x:v>
      </x:c>
      <x:c r="R487" s="73" t="str">
        <x:f>INDEX(TrackMap!$B$8:$B$141,H487)</x:f>
        <x:v>发车大直道</x:v>
      </x:c>
    </x:row>
    <x:row r="488" ht="20" customHeight="1">
      <x:c r="A488" s="73" t="n">
        <x:v>80</x:v>
      </x:c>
      <x:c r="B488" s="73" t="n">
        <x:v>1</x:v>
      </x:c>
      <x:c r="C488" s="73" t="str">
        <x:f>INDEX(Drivers!$B$8:$B$13,B488)</x:f>
        <x:v>赤焰</x:v>
      </x:c>
      <x:c r="D488" s="83" t="n">
        <x:f>G482</x:f>
        <x:v>279.6974010785939</x:v>
      </x:c>
      <x:c r="E488" s="83" t="str">
        <x:f>IF(A488=0,"GRID",IF(D488&gt;=Control!$B$17,"FINISHED",IF(AND(A488&gt;=INDEX(Drivers!$G$8:$G$13,B488),A488&lt;INDEX(Drivers!$G$8:$G$13,B488)+INDEX(Drivers!$J$8:$J$13,B488)),"PIT",IF(MOD(A488+INDEX(Drivers!$F$8:$F$13,B488),Control!$B$11)&lt;Control!$B$13,"BOOST","RACE"))))</x:f>
        <x:v>RACE</x:v>
      </x:c>
      <x:c r="F488" s="83" t="n">
        <x:f>IF(OR(E488="GRID",E488="FINISHED",E488="PIT"),0,MAX(Control!$B$15,(INDEX(Drivers!$D$8:$D$13,B488)+INDEX(Drivers!$E$8:$E$13,B488)*SIN((A488+INDEX(Drivers!$F$8:$F$13,B488)+Control!$B$16)*Control!$B$14))*INDEX(TrackMap!$M$8:$M$141,MOD(INT(D488)-1,Control!$B$7)+1)*IF(E488="BOOST",Control!$B$12,1)))</x:f>
        <x:v>3.528642518859156</x:v>
      </x:c>
      <x:c r="G488" s="83" t="n">
        <x:f>IF(A488=0,D488,MIN(Control!$B$17,D488+F488))</x:f>
        <x:v>283.22604359745304</x:v>
      </x:c>
      <x:c r="H488" s="73" t="n">
        <x:f>MOD(INT(G488)-1,Control!$B$7)+1</x:f>
        <x:v>15</x:v>
      </x:c>
      <x:c r="I488" s="73" t="n">
        <x:f>MIN(Control!$B$6,MAX(1,INT(MAX(0,G488)/Control!$B$7)+1))</x:f>
        <x:v>3</x:v>
      </x:c>
      <x:c r="J488" s="73" t="n">
        <x:f>INDEX(Drivers!$H$8:$H$13,B488)</x:f>
        <x:v>1</x:v>
      </x:c>
      <x:c r="K488" s="73" t="n">
        <x:f>IF(J488=1,INDEX(TrackMap!$I$8:$I$141,H488),INDEX(TrackMap!$L$8:$L$141,H488))</x:f>
        <x:v>2703</x:v>
      </x:c>
      <x:c r="L488" s="73" t="str">
        <x:f>INDEX(TrackMap!$F$8:$F$141,H488)</x:f>
        <x:v>↑</x:v>
      </x:c>
      <x:c r="M488" s="87" t="n">
        <x:f>MAX(0,G488/Control!$B$17)</x:f>
        <x:v>0.4227254382051538</x:v>
      </x:c>
      <x:c r="N488" s="73" t="n">
        <x:f>IF(N482&gt;0,N482,IF(G488&gt;=Control!$B$17,A488,0))</x:f>
        <x:v>0</x:v>
      </x:c>
      <x:c r="O488" s="91" t="n">
        <x:f>IF(N488&gt;0,Control!$B$17+Control!$B$8+1-N488,G488)-B488/100000</x:f>
        <x:v>283.22603359745307</x:v>
      </x:c>
      <x:c r="P488" s="73" t="n">
        <x:f>COUNTIF($O$488:$O$493,"&gt;"&amp;O488)+1</x:f>
        <x:v>2</x:v>
      </x:c>
      <x:c r="Q488" s="83" t="n">
        <x:f>MAX($G$488:$G$493)-G488</x:f>
        <x:v>0.5240370860175858</x:v>
      </x:c>
      <x:c r="R488" s="73" t="str">
        <x:f>INDEX(TrackMap!$B$8:$B$141,H488)</x:f>
        <x:v>西侧回弯</x:v>
      </x:c>
    </x:row>
    <x:row r="489" ht="20" customHeight="1">
      <x:c r="A489" s="73" t="n">
        <x:v>80</x:v>
      </x:c>
      <x:c r="B489" s="73" t="n">
        <x:v>2</x:v>
      </x:c>
      <x:c r="C489" s="73" t="str">
        <x:f>INDEX(Drivers!$B$8:$B$13,B489)</x:f>
        <x:v>蓝电</x:v>
      </x:c>
      <x:c r="D489" s="83" t="n">
        <x:f>G483</x:f>
        <x:v>268.45754394699316</x:v>
      </x:c>
      <x:c r="E489" s="83" t="str">
        <x:f>IF(A489=0,"GRID",IF(D489&gt;=Control!$B$17,"FINISHED",IF(AND(A489&gt;=INDEX(Drivers!$G$8:$G$13,B489),A489&lt;INDEX(Drivers!$G$8:$G$13,B489)+INDEX(Drivers!$J$8:$J$13,B489)),"PIT",IF(MOD(A489+INDEX(Drivers!$F$8:$F$13,B489),Control!$B$11)&lt;Control!$B$13,"BOOST","RACE"))))</x:f>
        <x:v>RACE</x:v>
      </x:c>
      <x:c r="F489" s="83" t="n">
        <x:f>IF(OR(E489="GRID",E489="FINISHED",E489="PIT"),0,MAX(Control!$B$15,(INDEX(Drivers!$D$8:$D$13,B489)+INDEX(Drivers!$E$8:$E$13,B489)*SIN((A489+INDEX(Drivers!$F$8:$F$13,B489)+Control!$B$16)*Control!$B$14))*INDEX(TrackMap!$M$8:$M$141,MOD(INT(D489)-1,Control!$B$7)+1)*IF(E489="BOOST",Control!$B$12,1)))</x:f>
        <x:v>2.6411411520112034</x:v>
      </x:c>
      <x:c r="G489" s="83" t="n">
        <x:f>IF(A489=0,D489,MIN(Control!$B$17,D489+F489))</x:f>
        <x:v>271.09868509900434</x:v>
      </x:c>
      <x:c r="H489" s="73" t="n">
        <x:f>MOD(INT(G489)-1,Control!$B$7)+1</x:f>
        <x:v>3</x:v>
      </x:c>
      <x:c r="I489" s="73" t="n">
        <x:f>MIN(Control!$B$6,MAX(1,INT(MAX(0,G489)/Control!$B$7)+1))</x:f>
        <x:v>3</x:v>
      </x:c>
      <x:c r="J489" s="73" t="n">
        <x:f>INDEX(Drivers!$H$8:$H$13,B489)</x:f>
        <x:v>2</x:v>
      </x:c>
      <x:c r="K489" s="73" t="n">
        <x:f>IF(J489=1,INDEX(TrackMap!$I$8:$I$141,H489),INDEX(TrackMap!$L$8:$L$141,H489))</x:f>
        <x:v>3014</x:v>
      </x:c>
      <x:c r="L489" s="73" t="str">
        <x:f>INDEX(TrackMap!$F$8:$F$141,H489)</x:f>
        <x:v>←</x:v>
      </x:c>
      <x:c r="M489" s="87" t="n">
        <x:f>MAX(0,G489/Control!$B$17)</x:f>
        <x:v>0.40462490313284233</x:v>
      </x:c>
      <x:c r="N489" s="73" t="n">
        <x:f>IF(N483&gt;0,N483,IF(G489&gt;=Control!$B$17,A489,0))</x:f>
        <x:v>0</x:v>
      </x:c>
      <x:c r="O489" s="91" t="n">
        <x:f>IF(N489&gt;0,Control!$B$17+Control!$B$8+1-N489,G489)-B489/100000</x:f>
        <x:v>271.09866509900434</x:v>
      </x:c>
      <x:c r="P489" s="73" t="n">
        <x:f>COUNTIF($O$488:$O$493,"&gt;"&amp;O489)+1</x:f>
        <x:v>5</x:v>
      </x:c>
      <x:c r="Q489" s="83" t="n">
        <x:f>MAX($G$488:$G$493)-G489</x:f>
        <x:v>12.651395584466286</x:v>
      </x:c>
      <x:c r="R489" s="73" t="str">
        <x:f>INDEX(TrackMap!$B$8:$B$141,H489)</x:f>
        <x:v>发车大直道</x:v>
      </x:c>
    </x:row>
    <x:row r="490" ht="20" customHeight="1">
      <x:c r="A490" s="73" t="n">
        <x:v>80</x:v>
      </x:c>
      <x:c r="B490" s="73" t="n">
        <x:v>3</x:v>
      </x:c>
      <x:c r="C490" s="73" t="str">
        <x:f>INDEX(Drivers!$B$8:$B$13,B490)</x:f>
        <x:v>金翼</x:v>
      </x:c>
      <x:c r="D490" s="83" t="n">
        <x:f>G484</x:f>
        <x:v>278.23452908151376</x:v>
      </x:c>
      <x:c r="E490" s="83" t="str">
        <x:f>IF(A490=0,"GRID",IF(D490&gt;=Control!$B$17,"FINISHED",IF(AND(A490&gt;=INDEX(Drivers!$G$8:$G$13,B490),A490&lt;INDEX(Drivers!$G$8:$G$13,B490)+INDEX(Drivers!$J$8:$J$13,B490)),"PIT",IF(MOD(A490+INDEX(Drivers!$F$8:$F$13,B490),Control!$B$11)&lt;Control!$B$13,"BOOST","RACE"))))</x:f>
        <x:v>BOOST</x:v>
      </x:c>
      <x:c r="F490" s="83" t="n">
        <x:f>IF(OR(E490="GRID",E490="FINISHED",E490="PIT"),0,MAX(Control!$B$15,(INDEX(Drivers!$D$8:$D$13,B490)+INDEX(Drivers!$E$8:$E$13,B490)*SIN((A490+INDEX(Drivers!$F$8:$F$13,B490)+Control!$B$16)*Control!$B$14))*INDEX(TrackMap!$M$8:$M$141,MOD(INT(D490)-1,Control!$B$7)+1)*IF(E490="BOOST",Control!$B$12,1)))</x:f>
        <x:v>5.515551601956897</x:v>
      </x:c>
      <x:c r="G490" s="83" t="n">
        <x:f>IF(A490=0,D490,MIN(Control!$B$17,D490+F490))</x:f>
        <x:v>283.7500806834706</x:v>
      </x:c>
      <x:c r="H490" s="73" t="n">
        <x:f>MOD(INT(G490)-1,Control!$B$7)+1</x:f>
        <x:v>15</x:v>
      </x:c>
      <x:c r="I490" s="73" t="n">
        <x:f>MIN(Control!$B$6,MAX(1,INT(MAX(0,G490)/Control!$B$7)+1))</x:f>
        <x:v>3</x:v>
      </x:c>
      <x:c r="J490" s="73" t="n">
        <x:f>INDEX(Drivers!$H$8:$H$13,B490)</x:f>
        <x:v>1</x:v>
      </x:c>
      <x:c r="K490" s="73" t="n">
        <x:f>IF(J490=1,INDEX(TrackMap!$I$8:$I$141,H490),INDEX(TrackMap!$L$8:$L$141,H490))</x:f>
        <x:v>2703</x:v>
      </x:c>
      <x:c r="L490" s="73" t="str">
        <x:f>INDEX(TrackMap!$F$8:$F$141,H490)</x:f>
        <x:v>↑</x:v>
      </x:c>
      <x:c r="M490" s="87" t="n">
        <x:f>MAX(0,G490/Control!$B$17)</x:f>
        <x:v>0.42350758310965764</x:v>
      </x:c>
      <x:c r="N490" s="73" t="n">
        <x:f>IF(N484&gt;0,N484,IF(G490&gt;=Control!$B$17,A490,0))</x:f>
        <x:v>0</x:v>
      </x:c>
      <x:c r="O490" s="91" t="n">
        <x:f>IF(N490&gt;0,Control!$B$17+Control!$B$8+1-N490,G490)-B490/100000</x:f>
        <x:v>283.75005068347065</x:v>
      </x:c>
      <x:c r="P490" s="73" t="n">
        <x:f>COUNTIF($O$488:$O$493,"&gt;"&amp;O490)+1</x:f>
        <x:v>1</x:v>
      </x:c>
      <x:c r="Q490" s="83" t="n">
        <x:f>MAX($G$488:$G$493)-G490</x:f>
        <x:v>0</x:v>
      </x:c>
      <x:c r="R490" s="73" t="str">
        <x:f>INDEX(TrackMap!$B$8:$B$141,H490)</x:f>
        <x:v>西侧回弯</x:v>
      </x:c>
    </x:row>
    <x:row r="491" ht="20" customHeight="1">
      <x:c r="A491" s="73" t="n">
        <x:v>80</x:v>
      </x:c>
      <x:c r="B491" s="73" t="n">
        <x:v>4</x:v>
      </x:c>
      <x:c r="C491" s="73" t="str">
        <x:f>INDEX(Drivers!$B$8:$B$13,B491)</x:f>
        <x:v>紫影</x:v>
      </x:c>
      <x:c r="D491" s="83" t="n">
        <x:f>G485</x:f>
        <x:v>274.9750494796534</x:v>
      </x:c>
      <x:c r="E491" s="83" t="str">
        <x:f>IF(A491=0,"GRID",IF(D491&gt;=Control!$B$17,"FINISHED",IF(AND(A491&gt;=INDEX(Drivers!$G$8:$G$13,B491),A491&lt;INDEX(Drivers!$G$8:$G$13,B491)+INDEX(Drivers!$J$8:$J$13,B491)),"PIT",IF(MOD(A491+INDEX(Drivers!$F$8:$F$13,B491),Control!$B$11)&lt;Control!$B$13,"BOOST","RACE"))))</x:f>
        <x:v>RACE</x:v>
      </x:c>
      <x:c r="F491" s="83" t="n">
        <x:f>IF(OR(E491="GRID",E491="FINISHED",E491="PIT"),0,MAX(Control!$B$15,(INDEX(Drivers!$D$8:$D$13,B491)+INDEX(Drivers!$E$8:$E$13,B491)*SIN((A491+INDEX(Drivers!$F$8:$F$13,B491)+Control!$B$16)*Control!$B$14))*INDEX(TrackMap!$M$8:$M$141,MOD(INT(D491)-1,Control!$B$7)+1)*IF(E491="BOOST",Control!$B$12,1)))</x:f>
        <x:v>3.025553899911025</x:v>
      </x:c>
      <x:c r="G491" s="83" t="n">
        <x:f>IF(A491=0,D491,MIN(Control!$B$17,D491+F491))</x:f>
        <x:v>278.00060337956444</x:v>
      </x:c>
      <x:c r="H491" s="73" t="n">
        <x:f>MOD(INT(G491)-1,Control!$B$7)+1</x:f>
        <x:v>10</x:v>
      </x:c>
      <x:c r="I491" s="73" t="n">
        <x:f>MIN(Control!$B$6,MAX(1,INT(MAX(0,G491)/Control!$B$7)+1))</x:f>
        <x:v>3</x:v>
      </x:c>
      <x:c r="J491" s="73" t="n">
        <x:f>INDEX(Drivers!$H$8:$H$13,B491)</x:f>
        <x:v>2</x:v>
      </x:c>
      <x:c r="K491" s="73" t="n">
        <x:f>IF(J491=1,INDEX(TrackMap!$I$8:$I$141,H491),INDEX(TrackMap!$L$8:$L$141,H491))</x:f>
        <x:v>3007</x:v>
      </x:c>
      <x:c r="L491" s="73" t="str">
        <x:f>INDEX(TrackMap!$F$8:$F$141,H491)</x:f>
        <x:v>←</x:v>
      </x:c>
      <x:c r="M491" s="87" t="n">
        <x:f>MAX(0,G491/Control!$B$17)</x:f>
        <x:v>0.41492627370084245</x:v>
      </x:c>
      <x:c r="N491" s="73" t="n">
        <x:f>IF(N485&gt;0,N485,IF(G491&gt;=Control!$B$17,A491,0))</x:f>
        <x:v>0</x:v>
      </x:c>
      <x:c r="O491" s="91" t="n">
        <x:f>IF(N491&gt;0,Control!$B$17+Control!$B$8+1-N491,G491)-B491/100000</x:f>
        <x:v>278.0005633795644</x:v>
      </x:c>
      <x:c r="P491" s="73" t="n">
        <x:f>COUNTIF($O$488:$O$493,"&gt;"&amp;O491)+1</x:f>
        <x:v>3</x:v>
      </x:c>
      <x:c r="Q491" s="83" t="n">
        <x:f>MAX($G$488:$G$493)-G491</x:f>
        <x:v>5.74947730390619</x:v>
      </x:c>
      <x:c r="R491" s="73" t="str">
        <x:f>INDEX(TrackMap!$B$8:$B$141,H491)</x:f>
        <x:v>发车大直道</x:v>
      </x:c>
    </x:row>
    <x:row r="492" ht="20" customHeight="1">
      <x:c r="A492" s="73" t="n">
        <x:v>80</x:v>
      </x:c>
      <x:c r="B492" s="73" t="n">
        <x:v>5</x:v>
      </x:c>
      <x:c r="C492" s="73" t="str">
        <x:f>INDEX(Drivers!$B$8:$B$13,B492)</x:f>
        <x:v>青锋</x:v>
      </x:c>
      <x:c r="D492" s="83" t="n">
        <x:f>G486</x:f>
        <x:v>268.1314651870023</x:v>
      </x:c>
      <x:c r="E492" s="83" t="str">
        <x:f>IF(A492=0,"GRID",IF(D492&gt;=Control!$B$17,"FINISHED",IF(AND(A492&gt;=INDEX(Drivers!$G$8:$G$13,B492),A492&lt;INDEX(Drivers!$G$8:$G$13,B492)+INDEX(Drivers!$J$8:$J$13,B492)),"PIT",IF(MOD(A492+INDEX(Drivers!$F$8:$F$13,B492),Control!$B$11)&lt;Control!$B$13,"BOOST","RACE"))))</x:f>
        <x:v>RACE</x:v>
      </x:c>
      <x:c r="F492" s="83" t="n">
        <x:f>IF(OR(E492="GRID",E492="FINISHED",E492="PIT"),0,MAX(Control!$B$15,(INDEX(Drivers!$D$8:$D$13,B492)+INDEX(Drivers!$E$8:$E$13,B492)*SIN((A492+INDEX(Drivers!$F$8:$F$13,B492)+Control!$B$16)*Control!$B$14))*INDEX(TrackMap!$M$8:$M$141,MOD(INT(D492)-1,Control!$B$7)+1)*IF(E492="BOOST",Control!$B$12,1)))</x:f>
        <x:v>2.4293116359476157</x:v>
      </x:c>
      <x:c r="G492" s="83" t="n">
        <x:f>IF(A492=0,D492,MIN(Control!$B$17,D492+F492))</x:f>
        <x:v>270.5607768229499</x:v>
      </x:c>
      <x:c r="H492" s="73" t="n">
        <x:f>MOD(INT(G492)-1,Control!$B$7)+1</x:f>
        <x:v>2</x:v>
      </x:c>
      <x:c r="I492" s="73" t="n">
        <x:f>MIN(Control!$B$6,MAX(1,INT(MAX(0,G492)/Control!$B$7)+1))</x:f>
        <x:v>3</x:v>
      </x:c>
      <x:c r="J492" s="73" t="n">
        <x:f>INDEX(Drivers!$H$8:$H$13,B492)</x:f>
        <x:v>1</x:v>
      </x:c>
      <x:c r="K492" s="73" t="n">
        <x:f>IF(J492=1,INDEX(TrackMap!$I$8:$I$141,H492),INDEX(TrackMap!$L$8:$L$141,H492))</x:f>
        <x:v>3115</x:v>
      </x:c>
      <x:c r="L492" s="73" t="str">
        <x:f>INDEX(TrackMap!$F$8:$F$141,H492)</x:f>
        <x:v>←</x:v>
      </x:c>
      <x:c r="M492" s="87" t="n">
        <x:f>MAX(0,G492/Control!$B$17)</x:f>
        <x:v>0.4038220549596267</x:v>
      </x:c>
      <x:c r="N492" s="73" t="n">
        <x:f>IF(N486&gt;0,N486,IF(G492&gt;=Control!$B$17,A492,0))</x:f>
        <x:v>0</x:v>
      </x:c>
      <x:c r="O492" s="91" t="n">
        <x:f>IF(N492&gt;0,Control!$B$17+Control!$B$8+1-N492,G492)-B492/100000</x:f>
        <x:v>270.5607268229499</x:v>
      </x:c>
      <x:c r="P492" s="73" t="n">
        <x:f>COUNTIF($O$488:$O$493,"&gt;"&amp;O492)+1</x:f>
        <x:v>6</x:v>
      </x:c>
      <x:c r="Q492" s="83" t="n">
        <x:f>MAX($G$488:$G$493)-G492</x:f>
        <x:v>13.189303860520738</x:v>
      </x:c>
      <x:c r="R492" s="73" t="str">
        <x:f>INDEX(TrackMap!$B$8:$B$141,H492)</x:f>
        <x:v>发车大直道</x:v>
      </x:c>
    </x:row>
    <x:row r="493" ht="20" customHeight="1">
      <x:c r="A493" s="73" t="n">
        <x:v>80</x:v>
      </x:c>
      <x:c r="B493" s="73" t="n">
        <x:v>6</x:v>
      </x:c>
      <x:c r="C493" s="73" t="str">
        <x:f>INDEX(Drivers!$B$8:$B$13,B493)</x:f>
        <x:v>玫速</x:v>
      </x:c>
      <x:c r="D493" s="83" t="n">
        <x:f>G487</x:f>
        <x:v>268.60461868705863</x:v>
      </x:c>
      <x:c r="E493" s="83" t="str">
        <x:f>IF(A493=0,"GRID",IF(D493&gt;=Control!$B$17,"FINISHED",IF(AND(A493&gt;=INDEX(Drivers!$G$8:$G$13,B493),A493&lt;INDEX(Drivers!$G$8:$G$13,B493)+INDEX(Drivers!$J$8:$J$13,B493)),"PIT",IF(MOD(A493+INDEX(Drivers!$F$8:$F$13,B493),Control!$B$11)&lt;Control!$B$13,"BOOST","RACE"))))</x:f>
        <x:v>BOOST</x:v>
      </x:c>
      <x:c r="F493" s="83" t="n">
        <x:f>IF(OR(E493="GRID",E493="FINISHED",E493="PIT"),0,MAX(Control!$B$15,(INDEX(Drivers!$D$8:$D$13,B493)+INDEX(Drivers!$E$8:$E$13,B493)*SIN((A493+INDEX(Drivers!$F$8:$F$13,B493)+Control!$B$16)*Control!$B$14))*INDEX(TrackMap!$M$8:$M$141,MOD(INT(D493)-1,Control!$B$7)+1)*IF(E493="BOOST",Control!$B$12,1)))</x:f>
        <x:v>4.451953247614835</x:v>
      </x:c>
      <x:c r="G493" s="83" t="n">
        <x:f>IF(A493=0,D493,MIN(Control!$B$17,D493+F493))</x:f>
        <x:v>273.05657193467346</x:v>
      </x:c>
      <x:c r="H493" s="73" t="n">
        <x:f>MOD(INT(G493)-1,Control!$B$7)+1</x:f>
        <x:v>5</x:v>
      </x:c>
      <x:c r="I493" s="73" t="n">
        <x:f>MIN(Control!$B$6,MAX(1,INT(MAX(0,G493)/Control!$B$7)+1))</x:f>
        <x:v>3</x:v>
      </x:c>
      <x:c r="J493" s="73" t="n">
        <x:f>INDEX(Drivers!$H$8:$H$13,B493)</x:f>
        <x:v>2</x:v>
      </x:c>
      <x:c r="K493" s="73" t="n">
        <x:f>IF(J493=1,INDEX(TrackMap!$I$8:$I$141,H493),INDEX(TrackMap!$L$8:$L$141,H493))</x:f>
        <x:v>3012</x:v>
      </x:c>
      <x:c r="L493" s="73" t="str">
        <x:f>INDEX(TrackMap!$F$8:$F$141,H493)</x:f>
        <x:v>←</x:v>
      </x:c>
      <x:c r="M493" s="87" t="n">
        <x:f>MAX(0,G493/Control!$B$17)</x:f>
        <x:v>0.4075471222905574</x:v>
      </x:c>
      <x:c r="N493" s="73" t="n">
        <x:f>IF(N487&gt;0,N487,IF(G493&gt;=Control!$B$17,A493,0))</x:f>
        <x:v>0</x:v>
      </x:c>
      <x:c r="O493" s="91" t="n">
        <x:f>IF(N493&gt;0,Control!$B$17+Control!$B$8+1-N493,G493)-B493/100000</x:f>
        <x:v>273.05651193467344</x:v>
      </x:c>
      <x:c r="P493" s="73" t="n">
        <x:f>COUNTIF($O$488:$O$493,"&gt;"&amp;O493)+1</x:f>
        <x:v>4</x:v>
      </x:c>
      <x:c r="Q493" s="83" t="n">
        <x:f>MAX($G$488:$G$493)-G493</x:f>
        <x:v>10.693508748797171</x:v>
      </x:c>
      <x:c r="R493" s="73" t="str">
        <x:f>INDEX(TrackMap!$B$8:$B$141,H493)</x:f>
        <x:v>发车大直道</x:v>
      </x:c>
    </x:row>
    <x:row r="494" ht="20" customHeight="1">
      <x:c r="A494" s="73" t="n">
        <x:v>81</x:v>
      </x:c>
      <x:c r="B494" s="73" t="n">
        <x:v>1</x:v>
      </x:c>
      <x:c r="C494" s="73" t="str">
        <x:f>INDEX(Drivers!$B$8:$B$13,B494)</x:f>
        <x:v>赤焰</x:v>
      </x:c>
      <x:c r="D494" s="83" t="n">
        <x:f>G488</x:f>
        <x:v>283.22604359745304</x:v>
      </x:c>
      <x:c r="E494" s="83" t="str">
        <x:f>IF(A494=0,"GRID",IF(D494&gt;=Control!$B$17,"FINISHED",IF(AND(A494&gt;=INDEX(Drivers!$G$8:$G$13,B494),A494&lt;INDEX(Drivers!$G$8:$G$13,B494)+INDEX(Drivers!$J$8:$J$13,B494)),"PIT",IF(MOD(A494+INDEX(Drivers!$F$8:$F$13,B494),Control!$B$11)&lt;Control!$B$13,"BOOST","RACE"))))</x:f>
        <x:v>RACE</x:v>
      </x:c>
      <x:c r="F494" s="83" t="n">
        <x:f>IF(OR(E494="GRID",E494="FINISHED",E494="PIT"),0,MAX(Control!$B$15,(INDEX(Drivers!$D$8:$D$13,B494)+INDEX(Drivers!$E$8:$E$13,B494)*SIN((A494+INDEX(Drivers!$F$8:$F$13,B494)+Control!$B$16)*Control!$B$14))*INDEX(TrackMap!$M$8:$M$141,MOD(INT(D494)-1,Control!$B$7)+1)*IF(E494="BOOST",Control!$B$12,1)))</x:f>
        <x:v>2.6074375132087737</x:v>
      </x:c>
      <x:c r="G494" s="83" t="n">
        <x:f>IF(A494=0,D494,MIN(Control!$B$17,D494+F494))</x:f>
        <x:v>285.8334811106618</x:v>
      </x:c>
      <x:c r="H494" s="73" t="n">
        <x:f>MOD(INT(G494)-1,Control!$B$7)+1</x:f>
        <x:v>17</x:v>
      </x:c>
      <x:c r="I494" s="73" t="n">
        <x:f>MIN(Control!$B$6,MAX(1,INT(MAX(0,G494)/Control!$B$7)+1))</x:f>
        <x:v>3</x:v>
      </x:c>
      <x:c r="J494" s="73" t="n">
        <x:f>INDEX(Drivers!$H$8:$H$13,B494)</x:f>
        <x:v>1</x:v>
      </x:c>
      <x:c r="K494" s="73" t="n">
        <x:f>IF(J494=1,INDEX(TrackMap!$I$8:$I$141,H494),INDEX(TrackMap!$L$8:$L$141,H494))</x:f>
        <x:v>2503</x:v>
      </x:c>
      <x:c r="L494" s="73" t="str">
        <x:f>INDEX(TrackMap!$F$8:$F$141,H494)</x:f>
        <x:v>↑</x:v>
      </x:c>
      <x:c r="M494" s="87" t="n">
        <x:f>MAX(0,G494/Control!$B$17)</x:f>
        <x:v>0.4266171359860624</x:v>
      </x:c>
      <x:c r="N494" s="73" t="n">
        <x:f>IF(N488&gt;0,N488,IF(G494&gt;=Control!$B$17,A494,0))</x:f>
        <x:v>0</x:v>
      </x:c>
      <x:c r="O494" s="91" t="n">
        <x:f>IF(N494&gt;0,Control!$B$17+Control!$B$8+1-N494,G494)-B494/100000</x:f>
        <x:v>285.83347111066183</x:v>
      </x:c>
      <x:c r="P494" s="73" t="n">
        <x:f>COUNTIF($O$494:$O$499,"&gt;"&amp;O494)+1</x:f>
        <x:v>2</x:v>
      </x:c>
      <x:c r="Q494" s="83" t="n">
        <x:f>MAX($G$494:$G$499)-G494</x:f>
        <x:v>0.9932284416096309</x:v>
      </x:c>
      <x:c r="R494" s="73" t="str">
        <x:f>INDEX(TrackMap!$B$8:$B$141,H494)</x:f>
        <x:v>西侧回弯</x:v>
      </x:c>
    </x:row>
    <x:row r="495" ht="20" customHeight="1">
      <x:c r="A495" s="73" t="n">
        <x:v>81</x:v>
      </x:c>
      <x:c r="B495" s="73" t="n">
        <x:v>2</x:v>
      </x:c>
      <x:c r="C495" s="73" t="str">
        <x:f>INDEX(Drivers!$B$8:$B$13,B495)</x:f>
        <x:v>蓝电</x:v>
      </x:c>
      <x:c r="D495" s="83" t="n">
        <x:f>G489</x:f>
        <x:v>271.09868509900434</x:v>
      </x:c>
      <x:c r="E495" s="83" t="str">
        <x:f>IF(A495=0,"GRID",IF(D495&gt;=Control!$B$17,"FINISHED",IF(AND(A495&gt;=INDEX(Drivers!$G$8:$G$13,B495),A495&lt;INDEX(Drivers!$G$8:$G$13,B495)+INDEX(Drivers!$J$8:$J$13,B495)),"PIT",IF(MOD(A495+INDEX(Drivers!$F$8:$F$13,B495),Control!$B$11)&lt;Control!$B$13,"BOOST","RACE"))))</x:f>
        <x:v>RACE</x:v>
      </x:c>
      <x:c r="F495" s="83" t="n">
        <x:f>IF(OR(E495="GRID",E495="FINISHED",E495="PIT"),0,MAX(Control!$B$15,(INDEX(Drivers!$D$8:$D$13,B495)+INDEX(Drivers!$E$8:$E$13,B495)*SIN((A495+INDEX(Drivers!$F$8:$F$13,B495)+Control!$B$16)*Control!$B$14))*INDEX(TrackMap!$M$8:$M$141,MOD(INT(D495)-1,Control!$B$7)+1)*IF(E495="BOOST",Control!$B$12,1)))</x:f>
        <x:v>3.6045260588736348</x:v>
      </x:c>
      <x:c r="G495" s="83" t="n">
        <x:f>IF(A495=0,D495,MIN(Control!$B$17,D495+F495))</x:f>
        <x:v>274.703211157878</x:v>
      </x:c>
      <x:c r="H495" s="73" t="n">
        <x:f>MOD(INT(G495)-1,Control!$B$7)+1</x:f>
        <x:v>6</x:v>
      </x:c>
      <x:c r="I495" s="73" t="n">
        <x:f>MIN(Control!$B$6,MAX(1,INT(MAX(0,G495)/Control!$B$7)+1))</x:f>
        <x:v>3</x:v>
      </x:c>
      <x:c r="J495" s="73" t="n">
        <x:f>INDEX(Drivers!$H$8:$H$13,B495)</x:f>
        <x:v>2</x:v>
      </x:c>
      <x:c r="K495" s="73" t="n">
        <x:f>IF(J495=1,INDEX(TrackMap!$I$8:$I$141,H495),INDEX(TrackMap!$L$8:$L$141,H495))</x:f>
        <x:v>3011</x:v>
      </x:c>
      <x:c r="L495" s="73" t="str">
        <x:f>INDEX(TrackMap!$F$8:$F$141,H495)</x:f>
        <x:v>←</x:v>
      </x:c>
      <x:c r="M495" s="87" t="n">
        <x:f>MAX(0,G495/Control!$B$17)</x:f>
        <x:v>0.41000479277295226</x:v>
      </x:c>
      <x:c r="N495" s="73" t="n">
        <x:f>IF(N489&gt;0,N489,IF(G495&gt;=Control!$B$17,A495,0))</x:f>
        <x:v>0</x:v>
      </x:c>
      <x:c r="O495" s="91" t="n">
        <x:f>IF(N495&gt;0,Control!$B$17+Control!$B$8+1-N495,G495)-B495/100000</x:f>
        <x:v>274.703191157878</x:v>
      </x:c>
      <x:c r="P495" s="73" t="n">
        <x:f>COUNTIF($O$494:$O$499,"&gt;"&amp;O495)+1</x:f>
        <x:v>5</x:v>
      </x:c>
      <x:c r="Q495" s="83" t="n">
        <x:f>MAX($G$494:$G$499)-G495</x:f>
        <x:v>12.123498394393437</x:v>
      </x:c>
      <x:c r="R495" s="73" t="str">
        <x:f>INDEX(TrackMap!$B$8:$B$141,H495)</x:f>
        <x:v>发车大直道</x:v>
      </x:c>
    </x:row>
    <x:row r="496" ht="20" customHeight="1">
      <x:c r="A496" s="73" t="n">
        <x:v>81</x:v>
      </x:c>
      <x:c r="B496" s="73" t="n">
        <x:v>3</x:v>
      </x:c>
      <x:c r="C496" s="73" t="str">
        <x:f>INDEX(Drivers!$B$8:$B$13,B496)</x:f>
        <x:v>金翼</x:v>
      </x:c>
      <x:c r="D496" s="83" t="n">
        <x:f>G490</x:f>
        <x:v>283.7500806834706</x:v>
      </x:c>
      <x:c r="E496" s="83" t="str">
        <x:f>IF(A496=0,"GRID",IF(D496&gt;=Control!$B$17,"FINISHED",IF(AND(A496&gt;=INDEX(Drivers!$G$8:$G$13,B496),A496&lt;INDEX(Drivers!$G$8:$G$13,B496)+INDEX(Drivers!$J$8:$J$13,B496)),"PIT",IF(MOD(A496+INDEX(Drivers!$F$8:$F$13,B496),Control!$B$11)&lt;Control!$B$13,"BOOST","RACE"))))</x:f>
        <x:v>RACE</x:v>
      </x:c>
      <x:c r="F496" s="83" t="n">
        <x:f>IF(OR(E496="GRID",E496="FINISHED",E496="PIT"),0,MAX(Control!$B$15,(INDEX(Drivers!$D$8:$D$13,B496)+INDEX(Drivers!$E$8:$E$13,B496)*SIN((A496+INDEX(Drivers!$F$8:$F$13,B496)+Control!$B$16)*Control!$B$14))*INDEX(TrackMap!$M$8:$M$141,MOD(INT(D496)-1,Control!$B$7)+1)*IF(E496="BOOST",Control!$B$12,1)))</x:f>
        <x:v>3.076628868800809</x:v>
      </x:c>
      <x:c r="G496" s="83" t="n">
        <x:f>IF(A496=0,D496,MIN(Control!$B$17,D496+F496))</x:f>
        <x:v>286.82670955227144</x:v>
      </x:c>
      <x:c r="H496" s="73" t="n">
        <x:f>MOD(INT(G496)-1,Control!$B$7)+1</x:f>
        <x:v>18</x:v>
      </x:c>
      <x:c r="I496" s="73" t="n">
        <x:f>MIN(Control!$B$6,MAX(1,INT(MAX(0,G496)/Control!$B$7)+1))</x:f>
        <x:v>3</x:v>
      </x:c>
      <x:c r="J496" s="73" t="n">
        <x:f>INDEX(Drivers!$H$8:$H$13,B496)</x:f>
        <x:v>1</x:v>
      </x:c>
      <x:c r="K496" s="73" t="n">
        <x:f>IF(J496=1,INDEX(TrackMap!$I$8:$I$141,H496),INDEX(TrackMap!$L$8:$L$141,H496))</x:f>
        <x:v>2403</x:v>
      </x:c>
      <x:c r="L496" s="73" t="str">
        <x:f>INDEX(TrackMap!$F$8:$F$141,H496)</x:f>
        <x:v>↑</x:v>
      </x:c>
      <x:c r="M496" s="87" t="n">
        <x:f>MAX(0,G496/Control!$B$17)</x:f>
        <x:v>0.4280995664959275</x:v>
      </x:c>
      <x:c r="N496" s="73" t="n">
        <x:f>IF(N490&gt;0,N490,IF(G496&gt;=Control!$B$17,A496,0))</x:f>
        <x:v>0</x:v>
      </x:c>
      <x:c r="O496" s="91" t="n">
        <x:f>IF(N496&gt;0,Control!$B$17+Control!$B$8+1-N496,G496)-B496/100000</x:f>
        <x:v>286.82667955227146</x:v>
      </x:c>
      <x:c r="P496" s="73" t="n">
        <x:f>COUNTIF($O$494:$O$499,"&gt;"&amp;O496)+1</x:f>
        <x:v>1</x:v>
      </x:c>
      <x:c r="Q496" s="83" t="n">
        <x:f>MAX($G$494:$G$499)-G496</x:f>
        <x:v>0</x:v>
      </x:c>
      <x:c r="R496" s="73" t="str">
        <x:f>INDEX(TrackMap!$B$8:$B$141,H496)</x:f>
        <x:v>西侧回弯</x:v>
      </x:c>
    </x:row>
    <x:row r="497" ht="20" customHeight="1">
      <x:c r="A497" s="73" t="n">
        <x:v>81</x:v>
      </x:c>
      <x:c r="B497" s="73" t="n">
        <x:v>4</x:v>
      </x:c>
      <x:c r="C497" s="73" t="str">
        <x:f>INDEX(Drivers!$B$8:$B$13,B497)</x:f>
        <x:v>紫影</x:v>
      </x:c>
      <x:c r="D497" s="83" t="n">
        <x:f>G491</x:f>
        <x:v>278.00060337956444</x:v>
      </x:c>
      <x:c r="E497" s="83" t="str">
        <x:f>IF(A497=0,"GRID",IF(D497&gt;=Control!$B$17,"FINISHED",IF(AND(A497&gt;=INDEX(Drivers!$G$8:$G$13,B497),A497&lt;INDEX(Drivers!$G$8:$G$13,B497)+INDEX(Drivers!$J$8:$J$13,B497)),"PIT",IF(MOD(A497+INDEX(Drivers!$F$8:$F$13,B497),Control!$B$11)&lt;Control!$B$13,"BOOST","RACE"))))</x:f>
        <x:v>RACE</x:v>
      </x:c>
      <x:c r="F497" s="83" t="n">
        <x:f>IF(OR(E497="GRID",E497="FINISHED",E497="PIT"),0,MAX(Control!$B$15,(INDEX(Drivers!$D$8:$D$13,B497)+INDEX(Drivers!$E$8:$E$13,B497)*SIN((A497+INDEX(Drivers!$F$8:$F$13,B497)+Control!$B$16)*Control!$B$14))*INDEX(TrackMap!$M$8:$M$141,MOD(INT(D497)-1,Control!$B$7)+1)*IF(E497="BOOST",Control!$B$12,1)))</x:f>
        <x:v>3.0933838084539094</x:v>
      </x:c>
      <x:c r="G497" s="83" t="n">
        <x:f>IF(A497=0,D497,MIN(Control!$B$17,D497+F497))</x:f>
        <x:v>281.09398718801833</x:v>
      </x:c>
      <x:c r="H497" s="73" t="n">
        <x:f>MOD(INT(G497)-1,Control!$B$7)+1</x:f>
        <x:v>13</x:v>
      </x:c>
      <x:c r="I497" s="73" t="n">
        <x:f>MIN(Control!$B$6,MAX(1,INT(MAX(0,G497)/Control!$B$7)+1))</x:f>
        <x:v>3</x:v>
      </x:c>
      <x:c r="J497" s="73" t="n">
        <x:f>INDEX(Drivers!$H$8:$H$13,B497)</x:f>
        <x:v>2</x:v>
      </x:c>
      <x:c r="K497" s="73" t="n">
        <x:f>IF(J497=1,INDEX(TrackMap!$I$8:$I$141,H497),INDEX(TrackMap!$L$8:$L$141,H497))</x:f>
        <x:v>2904</x:v>
      </x:c>
      <x:c r="L497" s="73" t="str">
        <x:f>INDEX(TrackMap!$F$8:$F$141,H497)</x:f>
        <x:v>↑</x:v>
      </x:c>
      <x:c r="M497" s="87" t="n">
        <x:f>MAX(0,G497/Control!$B$17)</x:f>
        <x:v>0.41954326445972884</x:v>
      </x:c>
      <x:c r="N497" s="73" t="n">
        <x:f>IF(N491&gt;0,N491,IF(G497&gt;=Control!$B$17,A497,0))</x:f>
        <x:v>0</x:v>
      </x:c>
      <x:c r="O497" s="91" t="n">
        <x:f>IF(N497&gt;0,Control!$B$17+Control!$B$8+1-N497,G497)-B497/100000</x:f>
        <x:v>281.0939471880183</x:v>
      </x:c>
      <x:c r="P497" s="73" t="n">
        <x:f>COUNTIF($O$494:$O$499,"&gt;"&amp;O497)+1</x:f>
        <x:v>3</x:v>
      </x:c>
      <x:c r="Q497" s="83" t="n">
        <x:f>MAX($G$494:$G$499)-G497</x:f>
        <x:v>5.732722364253107</x:v>
      </x:c>
      <x:c r="R497" s="73" t="str">
        <x:f>INDEX(TrackMap!$B$8:$B$141,H497)</x:f>
        <x:v>西侧回弯</x:v>
      </x:c>
    </x:row>
    <x:row r="498" ht="20" customHeight="1">
      <x:c r="A498" s="73" t="n">
        <x:v>81</x:v>
      </x:c>
      <x:c r="B498" s="73" t="n">
        <x:v>5</x:v>
      </x:c>
      <x:c r="C498" s="73" t="str">
        <x:f>INDEX(Drivers!$B$8:$B$13,B498)</x:f>
        <x:v>青锋</x:v>
      </x:c>
      <x:c r="D498" s="83" t="n">
        <x:f>G492</x:f>
        <x:v>270.5607768229499</x:v>
      </x:c>
      <x:c r="E498" s="83" t="str">
        <x:f>IF(A498=0,"GRID",IF(D498&gt;=Control!$B$17,"FINISHED",IF(AND(A498&gt;=INDEX(Drivers!$G$8:$G$13,B498),A498&lt;INDEX(Drivers!$G$8:$G$13,B498)+INDEX(Drivers!$J$8:$J$13,B498)),"PIT",IF(MOD(A498+INDEX(Drivers!$F$8:$F$13,B498),Control!$B$11)&lt;Control!$B$13,"BOOST","RACE"))))</x:f>
        <x:v>RACE</x:v>
      </x:c>
      <x:c r="F498" s="83" t="n">
        <x:f>IF(OR(E498="GRID",E498="FINISHED",E498="PIT"),0,MAX(Control!$B$15,(INDEX(Drivers!$D$8:$D$13,B498)+INDEX(Drivers!$E$8:$E$13,B498)*SIN((A498+INDEX(Drivers!$F$8:$F$13,B498)+Control!$B$16)*Control!$B$14))*INDEX(TrackMap!$M$8:$M$141,MOD(INT(D498)-1,Control!$B$7)+1)*IF(E498="BOOST",Control!$B$12,1)))</x:f>
        <x:v>3.174077658998465</x:v>
      </x:c>
      <x:c r="G498" s="83" t="n">
        <x:f>IF(A498=0,D498,MIN(Control!$B$17,D498+F498))</x:f>
        <x:v>273.73485448194833</x:v>
      </x:c>
      <x:c r="H498" s="73" t="n">
        <x:f>MOD(INT(G498)-1,Control!$B$7)+1</x:f>
        <x:v>5</x:v>
      </x:c>
      <x:c r="I498" s="73" t="n">
        <x:f>MIN(Control!$B$6,MAX(1,INT(MAX(0,G498)/Control!$B$7)+1))</x:f>
        <x:v>3</x:v>
      </x:c>
      <x:c r="J498" s="73" t="n">
        <x:f>INDEX(Drivers!$H$8:$H$13,B498)</x:f>
        <x:v>1</x:v>
      </x:c>
      <x:c r="K498" s="73" t="n">
        <x:f>IF(J498=1,INDEX(TrackMap!$I$8:$I$141,H498),INDEX(TrackMap!$L$8:$L$141,H498))</x:f>
        <x:v>3112</x:v>
      </x:c>
      <x:c r="L498" s="73" t="str">
        <x:f>INDEX(TrackMap!$F$8:$F$141,H498)</x:f>
        <x:v>←</x:v>
      </x:c>
      <x:c r="M498" s="87" t="n">
        <x:f>MAX(0,G498/Control!$B$17)</x:f>
        <x:v>0.4085594843014154</x:v>
      </x:c>
      <x:c r="N498" s="73" t="n">
        <x:f>IF(N492&gt;0,N492,IF(G498&gt;=Control!$B$17,A498,0))</x:f>
        <x:v>0</x:v>
      </x:c>
      <x:c r="O498" s="91" t="n">
        <x:f>IF(N498&gt;0,Control!$B$17+Control!$B$8+1-N498,G498)-B498/100000</x:f>
        <x:v>273.73480448194834</x:v>
      </x:c>
      <x:c r="P498" s="73" t="n">
        <x:f>COUNTIF($O$494:$O$499,"&gt;"&amp;O498)+1</x:f>
        <x:v>6</x:v>
      </x:c>
      <x:c r="Q498" s="83" t="n">
        <x:f>MAX($G$494:$G$499)-G498</x:f>
        <x:v>13.091855070323106</x:v>
      </x:c>
      <x:c r="R498" s="73" t="str">
        <x:f>INDEX(TrackMap!$B$8:$B$141,H498)</x:f>
        <x:v>发车大直道</x:v>
      </x:c>
    </x:row>
    <x:row r="499" ht="20" customHeight="1">
      <x:c r="A499" s="73" t="n">
        <x:v>81</x:v>
      </x:c>
      <x:c r="B499" s="73" t="n">
        <x:v>6</x:v>
      </x:c>
      <x:c r="C499" s="73" t="str">
        <x:f>INDEX(Drivers!$B$8:$B$13,B499)</x:f>
        <x:v>玫速</x:v>
      </x:c>
      <x:c r="D499" s="83" t="n">
        <x:f>G493</x:f>
        <x:v>273.05657193467346</x:v>
      </x:c>
      <x:c r="E499" s="83" t="str">
        <x:f>IF(A499=0,"GRID",IF(D499&gt;=Control!$B$17,"FINISHED",IF(AND(A499&gt;=INDEX(Drivers!$G$8:$G$13,B499),A499&lt;INDEX(Drivers!$G$8:$G$13,B499)+INDEX(Drivers!$J$8:$J$13,B499)),"PIT",IF(MOD(A499+INDEX(Drivers!$F$8:$F$13,B499),Control!$B$11)&lt;Control!$B$13,"BOOST","RACE"))))</x:f>
        <x:v>BOOST</x:v>
      </x:c>
      <x:c r="F499" s="83" t="n">
        <x:f>IF(OR(E499="GRID",E499="FINISHED",E499="PIT"),0,MAX(Control!$B$15,(INDEX(Drivers!$D$8:$D$13,B499)+INDEX(Drivers!$E$8:$E$13,B499)*SIN((A499+INDEX(Drivers!$F$8:$F$13,B499)+Control!$B$16)*Control!$B$14))*INDEX(TrackMap!$M$8:$M$141,MOD(INT(D499)-1,Control!$B$7)+1)*IF(E499="BOOST",Control!$B$12,1)))</x:f>
        <x:v>5.776991425079641</x:v>
      </x:c>
      <x:c r="G499" s="83" t="n">
        <x:f>IF(A499=0,D499,MIN(Control!$B$17,D499+F499))</x:f>
        <x:v>278.8335633597531</x:v>
      </x:c>
      <x:c r="H499" s="73" t="n">
        <x:f>MOD(INT(G499)-1,Control!$B$7)+1</x:f>
        <x:v>10</x:v>
      </x:c>
      <x:c r="I499" s="73" t="n">
        <x:f>MIN(Control!$B$6,MAX(1,INT(MAX(0,G499)/Control!$B$7)+1))</x:f>
        <x:v>3</x:v>
      </x:c>
      <x:c r="J499" s="73" t="n">
        <x:f>INDEX(Drivers!$H$8:$H$13,B499)</x:f>
        <x:v>2</x:v>
      </x:c>
      <x:c r="K499" s="73" t="n">
        <x:f>IF(J499=1,INDEX(TrackMap!$I$8:$I$141,H499),INDEX(TrackMap!$L$8:$L$141,H499))</x:f>
        <x:v>3007</x:v>
      </x:c>
      <x:c r="L499" s="73" t="str">
        <x:f>INDEX(TrackMap!$F$8:$F$141,H499)</x:f>
        <x:v>←</x:v>
      </x:c>
      <x:c r="M499" s="87" t="n">
        <x:f>MAX(0,G499/Control!$B$17)</x:f>
        <x:v>0.41616949755187027</x:v>
      </x:c>
      <x:c r="N499" s="73" t="n">
        <x:f>IF(N493&gt;0,N493,IF(G499&gt;=Control!$B$17,A499,0))</x:f>
        <x:v>0</x:v>
      </x:c>
      <x:c r="O499" s="91" t="n">
        <x:f>IF(N499&gt;0,Control!$B$17+Control!$B$8+1-N499,G499)-B499/100000</x:f>
        <x:v>278.8335033597531</x:v>
      </x:c>
      <x:c r="P499" s="73" t="n">
        <x:f>COUNTIF($O$494:$O$499,"&gt;"&amp;O499)+1</x:f>
        <x:v>4</x:v>
      </x:c>
      <x:c r="Q499" s="83" t="n">
        <x:f>MAX($G$494:$G$499)-G499</x:f>
        <x:v>7.9931461925183385</x:v>
      </x:c>
      <x:c r="R499" s="73" t="str">
        <x:f>INDEX(TrackMap!$B$8:$B$141,H499)</x:f>
        <x:v>发车大直道</x:v>
      </x:c>
    </x:row>
    <x:row r="500" ht="20" customHeight="1">
      <x:c r="A500" s="73" t="n">
        <x:v>82</x:v>
      </x:c>
      <x:c r="B500" s="73" t="n">
        <x:v>1</x:v>
      </x:c>
      <x:c r="C500" s="73" t="str">
        <x:f>INDEX(Drivers!$B$8:$B$13,B500)</x:f>
        <x:v>赤焰</x:v>
      </x:c>
      <x:c r="D500" s="83" t="n">
        <x:f>G494</x:f>
        <x:v>285.8334811106618</x:v>
      </x:c>
      <x:c r="E500" s="83" t="str">
        <x:f>IF(A500=0,"GRID",IF(D500&gt;=Control!$B$17,"FINISHED",IF(AND(A500&gt;=INDEX(Drivers!$G$8:$G$13,B500),A500&lt;INDEX(Drivers!$G$8:$G$13,B500)+INDEX(Drivers!$J$8:$J$13,B500)),"PIT",IF(MOD(A500+INDEX(Drivers!$F$8:$F$13,B500),Control!$B$11)&lt;Control!$B$13,"BOOST","RACE"))))</x:f>
        <x:v>RACE</x:v>
      </x:c>
      <x:c r="F500" s="83" t="n">
        <x:f>IF(OR(E500="GRID",E500="FINISHED",E500="PIT"),0,MAX(Control!$B$15,(INDEX(Drivers!$D$8:$D$13,B500)+INDEX(Drivers!$E$8:$E$13,B500)*SIN((A500+INDEX(Drivers!$F$8:$F$13,B500)+Control!$B$16)*Control!$B$14))*INDEX(TrackMap!$M$8:$M$141,MOD(INT(D500)-1,Control!$B$7)+1)*IF(E500="BOOST",Control!$B$12,1)))</x:f>
        <x:v>2.4949575204561683</x:v>
      </x:c>
      <x:c r="G500" s="83" t="n">
        <x:f>IF(A500=0,D500,MIN(Control!$B$17,D500+F500))</x:f>
        <x:v>288.328438631118</x:v>
      </x:c>
      <x:c r="H500" s="73" t="n">
        <x:f>MOD(INT(G500)-1,Control!$B$7)+1</x:f>
        <x:v>20</x:v>
      </x:c>
      <x:c r="I500" s="73" t="n">
        <x:f>MIN(Control!$B$6,MAX(1,INT(MAX(0,G500)/Control!$B$7)+1))</x:f>
        <x:v>3</x:v>
      </x:c>
      <x:c r="J500" s="73" t="n">
        <x:f>INDEX(Drivers!$H$8:$H$13,B500)</x:f>
        <x:v>1</x:v>
      </x:c>
      <x:c r="K500" s="73" t="n">
        <x:f>IF(J500=1,INDEX(TrackMap!$I$8:$I$141,H500),INDEX(TrackMap!$L$8:$L$141,H500))</x:f>
        <x:v>2204</x:v>
      </x:c>
      <x:c r="L500" s="73" t="str">
        <x:f>INDEX(TrackMap!$F$8:$F$141,H500)</x:f>
        <x:v>↑</x:v>
      </x:c>
      <x:c r="M500" s="87" t="n">
        <x:f>MAX(0,G500/Control!$B$17)</x:f>
        <x:v>0.43034095318077314</x:v>
      </x:c>
      <x:c r="N500" s="73" t="n">
        <x:f>IF(N494&gt;0,N494,IF(G500&gt;=Control!$B$17,A500,0))</x:f>
        <x:v>0</x:v>
      </x:c>
      <x:c r="O500" s="91" t="n">
        <x:f>IF(N500&gt;0,Control!$B$17+Control!$B$8+1-N500,G500)-B500/100000</x:f>
        <x:v>288.328428631118</x:v>
      </x:c>
      <x:c r="P500" s="73" t="n">
        <x:f>COUNTIF($O$500:$O$505,"&gt;"&amp;O500)+1</x:f>
        <x:v>2</x:v>
      </x:c>
      <x:c r="Q500" s="83" t="n">
        <x:f>MAX($G$500:$G$505)-G500</x:f>
        <x:v>1.4389647878460323</x:v>
      </x:c>
      <x:c r="R500" s="73" t="str">
        <x:f>INDEX(TrackMap!$B$8:$B$141,H500)</x:f>
        <x:v>西侧回弯</x:v>
      </x:c>
    </x:row>
    <x:row r="501" ht="20" customHeight="1">
      <x:c r="A501" s="73" t="n">
        <x:v>82</x:v>
      </x:c>
      <x:c r="B501" s="73" t="n">
        <x:v>2</x:v>
      </x:c>
      <x:c r="C501" s="73" t="str">
        <x:f>INDEX(Drivers!$B$8:$B$13,B501)</x:f>
        <x:v>蓝电</x:v>
      </x:c>
      <x:c r="D501" s="83" t="n">
        <x:f>G495</x:f>
        <x:v>274.703211157878</x:v>
      </x:c>
      <x:c r="E501" s="83" t="str">
        <x:f>IF(A501=0,"GRID",IF(D501&gt;=Control!$B$17,"FINISHED",IF(AND(A501&gt;=INDEX(Drivers!$G$8:$G$13,B501),A501&lt;INDEX(Drivers!$G$8:$G$13,B501)+INDEX(Drivers!$J$8:$J$13,B501)),"PIT",IF(MOD(A501+INDEX(Drivers!$F$8:$F$13,B501),Control!$B$11)&lt;Control!$B$13,"BOOST","RACE"))))</x:f>
        <x:v>RACE</x:v>
      </x:c>
      <x:c r="F501" s="83" t="n">
        <x:f>IF(OR(E501="GRID",E501="FINISHED",E501="PIT"),0,MAX(Control!$B$15,(INDEX(Drivers!$D$8:$D$13,B501)+INDEX(Drivers!$E$8:$E$13,B501)*SIN((A501+INDEX(Drivers!$F$8:$F$13,B501)+Control!$B$16)*Control!$B$14))*INDEX(TrackMap!$M$8:$M$141,MOD(INT(D501)-1,Control!$B$7)+1)*IF(E501="BOOST",Control!$B$12,1)))</x:f>
        <x:v>3.8196542307212997</x:v>
      </x:c>
      <x:c r="G501" s="83" t="n">
        <x:f>IF(A501=0,D501,MIN(Control!$B$17,D501+F501))</x:f>
        <x:v>278.5228653885993</x:v>
      </x:c>
      <x:c r="H501" s="73" t="n">
        <x:f>MOD(INT(G501)-1,Control!$B$7)+1</x:f>
        <x:v>10</x:v>
      </x:c>
      <x:c r="I501" s="73" t="n">
        <x:f>MIN(Control!$B$6,MAX(1,INT(MAX(0,G501)/Control!$B$7)+1))</x:f>
        <x:v>3</x:v>
      </x:c>
      <x:c r="J501" s="73" t="n">
        <x:f>INDEX(Drivers!$H$8:$H$13,B501)</x:f>
        <x:v>2</x:v>
      </x:c>
      <x:c r="K501" s="73" t="n">
        <x:f>IF(J501=1,INDEX(TrackMap!$I$8:$I$141,H501),INDEX(TrackMap!$L$8:$L$141,H501))</x:f>
        <x:v>3007</x:v>
      </x:c>
      <x:c r="L501" s="73" t="str">
        <x:f>INDEX(TrackMap!$F$8:$F$141,H501)</x:f>
        <x:v>←</x:v>
      </x:c>
      <x:c r="M501" s="87" t="n">
        <x:f>MAX(0,G501/Control!$B$17)</x:f>
        <x:v>0.4157057692367154</x:v>
      </x:c>
      <x:c r="N501" s="73" t="n">
        <x:f>IF(N495&gt;0,N495,IF(G501&gt;=Control!$B$17,A501,0))</x:f>
        <x:v>0</x:v>
      </x:c>
      <x:c r="O501" s="91" t="n">
        <x:f>IF(N501&gt;0,Control!$B$17+Control!$B$8+1-N501,G501)-B501/100000</x:f>
        <x:v>278.5228453885993</x:v>
      </x:c>
      <x:c r="P501" s="73" t="n">
        <x:f>COUNTIF($O$500:$O$505,"&gt;"&amp;O501)+1</x:f>
        <x:v>5</x:v>
      </x:c>
      <x:c r="Q501" s="83" t="n">
        <x:f>MAX($G$500:$G$505)-G501</x:f>
        <x:v>11.244538030364708</x:v>
      </x:c>
      <x:c r="R501" s="73" t="str">
        <x:f>INDEX(TrackMap!$B$8:$B$141,H501)</x:f>
        <x:v>发车大直道</x:v>
      </x:c>
    </x:row>
    <x:row r="502" ht="20" customHeight="1">
      <x:c r="A502" s="73" t="n">
        <x:v>82</x:v>
      </x:c>
      <x:c r="B502" s="73" t="n">
        <x:v>3</x:v>
      </x:c>
      <x:c r="C502" s="73" t="str">
        <x:f>INDEX(Drivers!$B$8:$B$13,B502)</x:f>
        <x:v>金翼</x:v>
      </x:c>
      <x:c r="D502" s="83" t="n">
        <x:f>G496</x:f>
        <x:v>286.82670955227144</x:v>
      </x:c>
      <x:c r="E502" s="83" t="str">
        <x:f>IF(A502=0,"GRID",IF(D502&gt;=Control!$B$17,"FINISHED",IF(AND(A502&gt;=INDEX(Drivers!$G$8:$G$13,B502),A502&lt;INDEX(Drivers!$G$8:$G$13,B502)+INDEX(Drivers!$J$8:$J$13,B502)),"PIT",IF(MOD(A502+INDEX(Drivers!$F$8:$F$13,B502),Control!$B$11)&lt;Control!$B$13,"BOOST","RACE"))))</x:f>
        <x:v>RACE</x:v>
      </x:c>
      <x:c r="F502" s="83" t="n">
        <x:f>IF(OR(E502="GRID",E502="FINISHED",E502="PIT"),0,MAX(Control!$B$15,(INDEX(Drivers!$D$8:$D$13,B502)+INDEX(Drivers!$E$8:$E$13,B502)*SIN((A502+INDEX(Drivers!$F$8:$F$13,B502)+Control!$B$16)*Control!$B$14))*INDEX(TrackMap!$M$8:$M$141,MOD(INT(D502)-1,Control!$B$7)+1)*IF(E502="BOOST",Control!$B$12,1)))</x:f>
        <x:v>2.940693866692558</x:v>
      </x:c>
      <x:c r="G502" s="83" t="n">
        <x:f>IF(A502=0,D502,MIN(Control!$B$17,D502+F502))</x:f>
        <x:v>289.767403418964</x:v>
      </x:c>
      <x:c r="H502" s="73" t="n">
        <x:f>MOD(INT(G502)-1,Control!$B$7)+1</x:f>
        <x:v>21</x:v>
      </x:c>
      <x:c r="I502" s="73" t="n">
        <x:f>MIN(Control!$B$6,MAX(1,INT(MAX(0,G502)/Control!$B$7)+1))</x:f>
        <x:v>3</x:v>
      </x:c>
      <x:c r="J502" s="73" t="n">
        <x:f>INDEX(Drivers!$H$8:$H$13,B502)</x:f>
        <x:v>1</x:v>
      </x:c>
      <x:c r="K502" s="73" t="n">
        <x:f>IF(J502=1,INDEX(TrackMap!$I$8:$I$141,H502),INDEX(TrackMap!$L$8:$L$141,H502))</x:f>
        <x:v>2206</x:v>
      </x:c>
      <x:c r="L502" s="73" t="str">
        <x:f>INDEX(TrackMap!$F$8:$F$141,H502)</x:f>
        <x:v>→</x:v>
      </x:c>
      <x:c r="M502" s="87" t="n">
        <x:f>MAX(0,G502/Control!$B$17)</x:f>
        <x:v>0.4324886618193493</x:v>
      </x:c>
      <x:c r="N502" s="73" t="n">
        <x:f>IF(N496&gt;0,N496,IF(G502&gt;=Control!$B$17,A502,0))</x:f>
        <x:v>0</x:v>
      </x:c>
      <x:c r="O502" s="91" t="n">
        <x:f>IF(N502&gt;0,Control!$B$17+Control!$B$8+1-N502,G502)-B502/100000</x:f>
        <x:v>289.76737341896404</x:v>
      </x:c>
      <x:c r="P502" s="73" t="n">
        <x:f>COUNTIF($O$500:$O$505,"&gt;"&amp;O502)+1</x:f>
        <x:v>1</x:v>
      </x:c>
      <x:c r="Q502" s="83" t="n">
        <x:f>MAX($G$500:$G$505)-G502</x:f>
        <x:v>0</x:v>
      </x:c>
      <x:c r="R502" s="73" t="str">
        <x:f>INDEX(TrackMap!$B$8:$B$141,H502)</x:f>
        <x:v>短直道</x:v>
      </x:c>
    </x:row>
    <x:row r="503" ht="20" customHeight="1">
      <x:c r="A503" s="73" t="n">
        <x:v>82</x:v>
      </x:c>
      <x:c r="B503" s="73" t="n">
        <x:v>4</x:v>
      </x:c>
      <x:c r="C503" s="73" t="str">
        <x:f>INDEX(Drivers!$B$8:$B$13,B503)</x:f>
        <x:v>紫影</x:v>
      </x:c>
      <x:c r="D503" s="83" t="n">
        <x:f>G497</x:f>
        <x:v>281.09398718801833</x:v>
      </x:c>
      <x:c r="E503" s="83" t="str">
        <x:f>IF(A503=0,"GRID",IF(D503&gt;=Control!$B$17,"FINISHED",IF(AND(A503&gt;=INDEX(Drivers!$G$8:$G$13,B503),A503&lt;INDEX(Drivers!$G$8:$G$13,B503)+INDEX(Drivers!$J$8:$J$13,B503)),"PIT",IF(MOD(A503+INDEX(Drivers!$F$8:$F$13,B503),Control!$B$11)&lt;Control!$B$13,"BOOST","RACE"))))</x:f>
        <x:v>RACE</x:v>
      </x:c>
      <x:c r="F503" s="83" t="n">
        <x:f>IF(OR(E503="GRID",E503="FINISHED",E503="PIT"),0,MAX(Control!$B$15,(INDEX(Drivers!$D$8:$D$13,B503)+INDEX(Drivers!$E$8:$E$13,B503)*SIN((A503+INDEX(Drivers!$F$8:$F$13,B503)+Control!$B$16)*Control!$B$14))*INDEX(TrackMap!$M$8:$M$141,MOD(INT(D503)-1,Control!$B$7)+1)*IF(E503="BOOST",Control!$B$12,1)))</x:f>
        <x:v>2.51922983666528</x:v>
      </x:c>
      <x:c r="G503" s="83" t="n">
        <x:f>IF(A503=0,D503,MIN(Control!$B$17,D503+F503))</x:f>
        <x:v>283.6132170246836</x:v>
      </x:c>
      <x:c r="H503" s="73" t="n">
        <x:f>MOD(INT(G503)-1,Control!$B$7)+1</x:f>
        <x:v>15</x:v>
      </x:c>
      <x:c r="I503" s="73" t="n">
        <x:f>MIN(Control!$B$6,MAX(1,INT(MAX(0,G503)/Control!$B$7)+1))</x:f>
        <x:v>3</x:v>
      </x:c>
      <x:c r="J503" s="73" t="n">
        <x:f>INDEX(Drivers!$H$8:$H$13,B503)</x:f>
        <x:v>2</x:v>
      </x:c>
      <x:c r="K503" s="73" t="n">
        <x:f>IF(J503=1,INDEX(TrackMap!$I$8:$I$141,H503),INDEX(TrackMap!$L$8:$L$141,H503))</x:f>
        <x:v>2704</x:v>
      </x:c>
      <x:c r="L503" s="73" t="str">
        <x:f>INDEX(TrackMap!$F$8:$F$141,H503)</x:f>
        <x:v>↑</x:v>
      </x:c>
      <x:c r="M503" s="87" t="n">
        <x:f>MAX(0,G503/Control!$B$17)</x:f>
        <x:v>0.4233033089920651</x:v>
      </x:c>
      <x:c r="N503" s="73" t="n">
        <x:f>IF(N497&gt;0,N497,IF(G503&gt;=Control!$B$17,A503,0))</x:f>
        <x:v>0</x:v>
      </x:c>
      <x:c r="O503" s="91" t="n">
        <x:f>IF(N503&gt;0,Control!$B$17+Control!$B$8+1-N503,G503)-B503/100000</x:f>
        <x:v>283.6131770246836</x:v>
      </x:c>
      <x:c r="P503" s="73" t="n">
        <x:f>COUNTIF($O$500:$O$505,"&gt;"&amp;O503)+1</x:f>
        <x:v>4</x:v>
      </x:c>
      <x:c r="Q503" s="83" t="n">
        <x:f>MAX($G$500:$G$505)-G503</x:f>
        <x:v>6.15418639428043</x:v>
      </x:c>
      <x:c r="R503" s="73" t="str">
        <x:f>INDEX(TrackMap!$B$8:$B$141,H503)</x:f>
        <x:v>西侧回弯</x:v>
      </x:c>
    </x:row>
    <x:row r="504" ht="20" customHeight="1">
      <x:c r="A504" s="73" t="n">
        <x:v>82</x:v>
      </x:c>
      <x:c r="B504" s="73" t="n">
        <x:v>5</x:v>
      </x:c>
      <x:c r="C504" s="73" t="str">
        <x:f>INDEX(Drivers!$B$8:$B$13,B504)</x:f>
        <x:v>青锋</x:v>
      </x:c>
      <x:c r="D504" s="83" t="n">
        <x:f>G498</x:f>
        <x:v>273.73485448194833</x:v>
      </x:c>
      <x:c r="E504" s="83" t="str">
        <x:f>IF(A504=0,"GRID",IF(D504&gt;=Control!$B$17,"FINISHED",IF(AND(A504&gt;=INDEX(Drivers!$G$8:$G$13,B504),A504&lt;INDEX(Drivers!$G$8:$G$13,B504)+INDEX(Drivers!$J$8:$J$13,B504)),"PIT",IF(MOD(A504+INDEX(Drivers!$F$8:$F$13,B504),Control!$B$11)&lt;Control!$B$13,"BOOST","RACE"))))</x:f>
        <x:v>RACE</x:v>
      </x:c>
      <x:c r="F504" s="83" t="n">
        <x:f>IF(OR(E504="GRID",E504="FINISHED",E504="PIT"),0,MAX(Control!$B$15,(INDEX(Drivers!$D$8:$D$13,B504)+INDEX(Drivers!$E$8:$E$13,B504)*SIN((A504+INDEX(Drivers!$F$8:$F$13,B504)+Control!$B$16)*Control!$B$14))*INDEX(TrackMap!$M$8:$M$141,MOD(INT(D504)-1,Control!$B$7)+1)*IF(E504="BOOST",Control!$B$12,1)))</x:f>
        <x:v>3.29536017065436</x:v>
      </x:c>
      <x:c r="G504" s="83" t="n">
        <x:f>IF(A504=0,D504,MIN(Control!$B$17,D504+F504))</x:f>
        <x:v>277.0302146526027</x:v>
      </x:c>
      <x:c r="H504" s="73" t="n">
        <x:f>MOD(INT(G504)-1,Control!$B$7)+1</x:f>
        <x:v>9</x:v>
      </x:c>
      <x:c r="I504" s="73" t="n">
        <x:f>MIN(Control!$B$6,MAX(1,INT(MAX(0,G504)/Control!$B$7)+1))</x:f>
        <x:v>3</x:v>
      </x:c>
      <x:c r="J504" s="73" t="n">
        <x:f>INDEX(Drivers!$H$8:$H$13,B504)</x:f>
        <x:v>1</x:v>
      </x:c>
      <x:c r="K504" s="73" t="n">
        <x:f>IF(J504=1,INDEX(TrackMap!$I$8:$I$141,H504),INDEX(TrackMap!$L$8:$L$141,H504))</x:f>
        <x:v>3108</x:v>
      </x:c>
      <x:c r="L504" s="73" t="str">
        <x:f>INDEX(TrackMap!$F$8:$F$141,H504)</x:f>
        <x:v>←</x:v>
      </x:c>
      <x:c r="M504" s="87" t="n">
        <x:f>MAX(0,G504/Control!$B$17)</x:f>
        <x:v>0.41347793231731744</x:v>
      </x:c>
      <x:c r="N504" s="73" t="n">
        <x:f>IF(N498&gt;0,N498,IF(G504&gt;=Control!$B$17,A504,0))</x:f>
        <x:v>0</x:v>
      </x:c>
      <x:c r="O504" s="91" t="n">
        <x:f>IF(N504&gt;0,Control!$B$17+Control!$B$8+1-N504,G504)-B504/100000</x:f>
        <x:v>277.0301646526027</x:v>
      </x:c>
      <x:c r="P504" s="73" t="n">
        <x:f>COUNTIF($O$500:$O$505,"&gt;"&amp;O504)+1</x:f>
        <x:v>6</x:v>
      </x:c>
      <x:c r="Q504" s="83" t="n">
        <x:f>MAX($G$500:$G$505)-G504</x:f>
        <x:v>12.737188766361328</x:v>
      </x:c>
      <x:c r="R504" s="73" t="str">
        <x:f>INDEX(TrackMap!$B$8:$B$141,H504)</x:f>
        <x:v>发车大直道</x:v>
      </x:c>
    </x:row>
    <x:row r="505" ht="20" customHeight="1">
      <x:c r="A505" s="73" t="n">
        <x:v>82</x:v>
      </x:c>
      <x:c r="B505" s="73" t="n">
        <x:v>6</x:v>
      </x:c>
      <x:c r="C505" s="73" t="str">
        <x:f>INDEX(Drivers!$B$8:$B$13,B505)</x:f>
        <x:v>玫速</x:v>
      </x:c>
      <x:c r="D505" s="83" t="n">
        <x:f>G499</x:f>
        <x:v>278.8335633597531</x:v>
      </x:c>
      <x:c r="E505" s="83" t="str">
        <x:f>IF(A505=0,"GRID",IF(D505&gt;=Control!$B$17,"FINISHED",IF(AND(A505&gt;=INDEX(Drivers!$G$8:$G$13,B505),A505&lt;INDEX(Drivers!$G$8:$G$13,B505)+INDEX(Drivers!$J$8:$J$13,B505)),"PIT",IF(MOD(A505+INDEX(Drivers!$F$8:$F$13,B505),Control!$B$11)&lt;Control!$B$13,"BOOST","RACE"))))</x:f>
        <x:v>BOOST</x:v>
      </x:c>
      <x:c r="F505" s="83" t="n">
        <x:f>IF(OR(E505="GRID",E505="FINISHED",E505="PIT"),0,MAX(Control!$B$15,(INDEX(Drivers!$D$8:$D$13,B505)+INDEX(Drivers!$E$8:$E$13,B505)*SIN((A505+INDEX(Drivers!$F$8:$F$13,B505)+Control!$B$16)*Control!$B$14))*INDEX(TrackMap!$M$8:$M$141,MOD(INT(D505)-1,Control!$B$7)+1)*IF(E505="BOOST",Control!$B$12,1)))</x:f>
        <x:v>5.736857287188123</x:v>
      </x:c>
      <x:c r="G505" s="83" t="n">
        <x:f>IF(A505=0,D505,MIN(Control!$B$17,D505+F505))</x:f>
        <x:v>284.5704206469412</x:v>
      </x:c>
      <x:c r="H505" s="73" t="n">
        <x:f>MOD(INT(G505)-1,Control!$B$7)+1</x:f>
        <x:v>16</x:v>
      </x:c>
      <x:c r="I505" s="73" t="n">
        <x:f>MIN(Control!$B$6,MAX(1,INT(MAX(0,G505)/Control!$B$7)+1))</x:f>
        <x:v>3</x:v>
      </x:c>
      <x:c r="J505" s="73" t="n">
        <x:f>INDEX(Drivers!$H$8:$H$13,B505)</x:f>
        <x:v>2</x:v>
      </x:c>
      <x:c r="K505" s="73" t="n">
        <x:f>IF(J505=1,INDEX(TrackMap!$I$8:$I$141,H505),INDEX(TrackMap!$L$8:$L$141,H505))</x:f>
        <x:v>2604</x:v>
      </x:c>
      <x:c r="L505" s="73" t="str">
        <x:f>INDEX(TrackMap!$F$8:$F$141,H505)</x:f>
        <x:v>↑</x:v>
      </x:c>
      <x:c r="M505" s="87" t="n">
        <x:f>MAX(0,G505/Control!$B$17)</x:f>
        <x:v>0.4247319711148376</x:v>
      </x:c>
      <x:c r="N505" s="73" t="n">
        <x:f>IF(N499&gt;0,N499,IF(G505&gt;=Control!$B$17,A505,0))</x:f>
        <x:v>0</x:v>
      </x:c>
      <x:c r="O505" s="91" t="n">
        <x:f>IF(N505&gt;0,Control!$B$17+Control!$B$8+1-N505,G505)-B505/100000</x:f>
        <x:v>284.5703606469412</x:v>
      </x:c>
      <x:c r="P505" s="73" t="n">
        <x:f>COUNTIF($O$500:$O$505,"&gt;"&amp;O505)+1</x:f>
        <x:v>3</x:v>
      </x:c>
      <x:c r="Q505" s="83" t="n">
        <x:f>MAX($G$500:$G$505)-G505</x:f>
        <x:v>5.196982772022807</x:v>
      </x:c>
      <x:c r="R505" s="73" t="str">
        <x:f>INDEX(TrackMap!$B$8:$B$141,H505)</x:f>
        <x:v>西侧回弯</x:v>
      </x:c>
    </x:row>
    <x:row r="506" ht="20" customHeight="1">
      <x:c r="A506" s="73" t="n">
        <x:v>83</x:v>
      </x:c>
      <x:c r="B506" s="73" t="n">
        <x:v>1</x:v>
      </x:c>
      <x:c r="C506" s="73" t="str">
        <x:f>INDEX(Drivers!$B$8:$B$13,B506)</x:f>
        <x:v>赤焰</x:v>
      </x:c>
      <x:c r="D506" s="83" t="n">
        <x:f>G500</x:f>
        <x:v>288.328438631118</x:v>
      </x:c>
      <x:c r="E506" s="83" t="str">
        <x:f>IF(A506=0,"GRID",IF(D506&gt;=Control!$B$17,"FINISHED",IF(AND(A506&gt;=INDEX(Drivers!$G$8:$G$13,B506),A506&lt;INDEX(Drivers!$G$8:$G$13,B506)+INDEX(Drivers!$J$8:$J$13,B506)),"PIT",IF(MOD(A506+INDEX(Drivers!$F$8:$F$13,B506),Control!$B$11)&lt;Control!$B$13,"BOOST","RACE"))))</x:f>
        <x:v>RACE</x:v>
      </x:c>
      <x:c r="F506" s="83" t="n">
        <x:f>IF(OR(E506="GRID",E506="FINISHED",E506="PIT"),0,MAX(Control!$B$15,(INDEX(Drivers!$D$8:$D$13,B506)+INDEX(Drivers!$E$8:$E$13,B506)*SIN((A506+INDEX(Drivers!$F$8:$F$13,B506)+Control!$B$16)*Control!$B$14))*INDEX(TrackMap!$M$8:$M$141,MOD(INT(D506)-1,Control!$B$7)+1)*IF(E506="BOOST",Control!$B$12,1)))</x:f>
        <x:v>2.4301248258038903</x:v>
      </x:c>
      <x:c r="G506" s="83" t="n">
        <x:f>IF(A506=0,D506,MIN(Control!$B$17,D506+F506))</x:f>
        <x:v>290.7585634569219</x:v>
      </x:c>
      <x:c r="H506" s="73" t="n">
        <x:f>MOD(INT(G506)-1,Control!$B$7)+1</x:f>
        <x:v>22</x:v>
      </x:c>
      <x:c r="I506" s="73" t="n">
        <x:f>MIN(Control!$B$6,MAX(1,INT(MAX(0,G506)/Control!$B$7)+1))</x:f>
        <x:v>3</x:v>
      </x:c>
      <x:c r="J506" s="73" t="n">
        <x:f>INDEX(Drivers!$H$8:$H$13,B506)</x:f>
        <x:v>1</x:v>
      </x:c>
      <x:c r="K506" s="73" t="n">
        <x:f>IF(J506=1,INDEX(TrackMap!$I$8:$I$141,H506),INDEX(TrackMap!$L$8:$L$141,H506))</x:f>
        <x:v>2207</x:v>
      </x:c>
      <x:c r="L506" s="73" t="str">
        <x:f>INDEX(TrackMap!$F$8:$F$141,H506)</x:f>
        <x:v>→</x:v>
      </x:c>
      <x:c r="M506" s="87" t="n">
        <x:f>MAX(0,G506/Control!$B$17)</x:f>
        <x:v>0.4339680051595849</x:v>
      </x:c>
      <x:c r="N506" s="73" t="n">
        <x:f>IF(N500&gt;0,N500,IF(G506&gt;=Control!$B$17,A506,0))</x:f>
        <x:v>0</x:v>
      </x:c>
      <x:c r="O506" s="91" t="n">
        <x:f>IF(N506&gt;0,Control!$B$17+Control!$B$8+1-N506,G506)-B506/100000</x:f>
        <x:v>290.7585534569219</x:v>
      </x:c>
      <x:c r="P506" s="73" t="n">
        <x:f>COUNTIF($O$506:$O$511,"&gt;"&amp;O506)+1</x:f>
        <x:v>2</x:v>
      </x:c>
      <x:c r="Q506" s="83" t="n">
        <x:f>MAX($G$506:$G$511)-G506</x:f>
        <x:v>1.8061962683501633</x:v>
      </x:c>
      <x:c r="R506" s="73" t="str">
        <x:f>INDEX(TrackMap!$B$8:$B$141,H506)</x:f>
        <x:v>短直道</x:v>
      </x:c>
    </x:row>
    <x:row r="507" ht="20" customHeight="1">
      <x:c r="A507" s="73" t="n">
        <x:v>83</x:v>
      </x:c>
      <x:c r="B507" s="73" t="n">
        <x:v>2</x:v>
      </x:c>
      <x:c r="C507" s="73" t="str">
        <x:f>INDEX(Drivers!$B$8:$B$13,B507)</x:f>
        <x:v>蓝电</x:v>
      </x:c>
      <x:c r="D507" s="83" t="n">
        <x:f>G501</x:f>
        <x:v>278.5228653885993</x:v>
      </x:c>
      <x:c r="E507" s="83" t="str">
        <x:f>IF(A507=0,"GRID",IF(D507&gt;=Control!$B$17,"FINISHED",IF(AND(A507&gt;=INDEX(Drivers!$G$8:$G$13,B507),A507&lt;INDEX(Drivers!$G$8:$G$13,B507)+INDEX(Drivers!$J$8:$J$13,B507)),"PIT",IF(MOD(A507+INDEX(Drivers!$F$8:$F$13,B507),Control!$B$11)&lt;Control!$B$13,"BOOST","RACE"))))</x:f>
        <x:v>BOOST</x:v>
      </x:c>
      <x:c r="F507" s="83" t="n">
        <x:f>IF(OR(E507="GRID",E507="FINISHED",E507="PIT"),0,MAX(Control!$B$15,(INDEX(Drivers!$D$8:$D$13,B507)+INDEX(Drivers!$E$8:$E$13,B507)*SIN((A507+INDEX(Drivers!$F$8:$F$13,B507)+Control!$B$16)*Control!$B$14))*INDEX(TrackMap!$M$8:$M$141,MOD(INT(D507)-1,Control!$B$7)+1)*IF(E507="BOOST",Control!$B$12,1)))</x:f>
        <x:v>5.403167541058037</x:v>
      </x:c>
      <x:c r="G507" s="83" t="n">
        <x:f>IF(A507=0,D507,MIN(Control!$B$17,D507+F507))</x:f>
        <x:v>283.92603292965737</x:v>
      </x:c>
      <x:c r="H507" s="73" t="n">
        <x:f>MOD(INT(G507)-1,Control!$B$7)+1</x:f>
        <x:v>15</x:v>
      </x:c>
      <x:c r="I507" s="73" t="n">
        <x:f>MIN(Control!$B$6,MAX(1,INT(MAX(0,G507)/Control!$B$7)+1))</x:f>
        <x:v>3</x:v>
      </x:c>
      <x:c r="J507" s="73" t="n">
        <x:f>INDEX(Drivers!$H$8:$H$13,B507)</x:f>
        <x:v>2</x:v>
      </x:c>
      <x:c r="K507" s="73" t="n">
        <x:f>IF(J507=1,INDEX(TrackMap!$I$8:$I$141,H507),INDEX(TrackMap!$L$8:$L$141,H507))</x:f>
        <x:v>2704</x:v>
      </x:c>
      <x:c r="L507" s="73" t="str">
        <x:f>INDEX(TrackMap!$F$8:$F$141,H507)</x:f>
        <x:v>↑</x:v>
      </x:c>
      <x:c r="M507" s="87" t="n">
        <x:f>MAX(0,G507/Control!$B$17)</x:f>
        <x:v>0.4237701984024737</x:v>
      </x:c>
      <x:c r="N507" s="73" t="n">
        <x:f>IF(N501&gt;0,N501,IF(G507&gt;=Control!$B$17,A507,0))</x:f>
        <x:v>0</x:v>
      </x:c>
      <x:c r="O507" s="91" t="n">
        <x:f>IF(N507&gt;0,Control!$B$17+Control!$B$8+1-N507,G507)-B507/100000</x:f>
        <x:v>283.92601292965736</x:v>
      </x:c>
      <x:c r="P507" s="73" t="n">
        <x:f>COUNTIF($O$506:$O$511,"&gt;"&amp;O507)+1</x:f>
        <x:v>5</x:v>
      </x:c>
      <x:c r="Q507" s="83" t="n">
        <x:f>MAX($G$506:$G$511)-G507</x:f>
        <x:v>8.638726795614673</x:v>
      </x:c>
      <x:c r="R507" s="73" t="str">
        <x:f>INDEX(TrackMap!$B$8:$B$141,H507)</x:f>
        <x:v>西侧回弯</x:v>
      </x:c>
    </x:row>
    <x:row r="508" ht="20" customHeight="1">
      <x:c r="A508" s="73" t="n">
        <x:v>83</x:v>
      </x:c>
      <x:c r="B508" s="73" t="n">
        <x:v>3</x:v>
      </x:c>
      <x:c r="C508" s="73" t="str">
        <x:f>INDEX(Drivers!$B$8:$B$13,B508)</x:f>
        <x:v>金翼</x:v>
      </x:c>
      <x:c r="D508" s="83" t="n">
        <x:f>G502</x:f>
        <x:v>289.767403418964</x:v>
      </x:c>
      <x:c r="E508" s="83" t="str">
        <x:f>IF(A508=0,"GRID",IF(D508&gt;=Control!$B$17,"FINISHED",IF(AND(A508&gt;=INDEX(Drivers!$G$8:$G$13,B508),A508&lt;INDEX(Drivers!$G$8:$G$13,B508)+INDEX(Drivers!$J$8:$J$13,B508)),"PIT",IF(MOD(A508+INDEX(Drivers!$F$8:$F$13,B508),Control!$B$11)&lt;Control!$B$13,"BOOST","RACE"))))</x:f>
        <x:v>RACE</x:v>
      </x:c>
      <x:c r="F508" s="83" t="n">
        <x:f>IF(OR(E508="GRID",E508="FINISHED",E508="PIT"),0,MAX(Control!$B$15,(INDEX(Drivers!$D$8:$D$13,B508)+INDEX(Drivers!$E$8:$E$13,B508)*SIN((A508+INDEX(Drivers!$F$8:$F$13,B508)+Control!$B$16)*Control!$B$14))*INDEX(TrackMap!$M$8:$M$141,MOD(INT(D508)-1,Control!$B$7)+1)*IF(E508="BOOST",Control!$B$12,1)))</x:f>
        <x:v>2.7973563063079996</x:v>
      </x:c>
      <x:c r="G508" s="83" t="n">
        <x:f>IF(A508=0,D508,MIN(Control!$B$17,D508+F508))</x:f>
        <x:v>292.56475972527204</x:v>
      </x:c>
      <x:c r="H508" s="73" t="n">
        <x:f>MOD(INT(G508)-1,Control!$B$7)+1</x:f>
        <x:v>24</x:v>
      </x:c>
      <x:c r="I508" s="73" t="n">
        <x:f>MIN(Control!$B$6,MAX(1,INT(MAX(0,G508)/Control!$B$7)+1))</x:f>
        <x:v>3</x:v>
      </x:c>
      <x:c r="J508" s="73" t="n">
        <x:f>INDEX(Drivers!$H$8:$H$13,B508)</x:f>
        <x:v>1</x:v>
      </x:c>
      <x:c r="K508" s="73" t="n">
        <x:f>IF(J508=1,INDEX(TrackMap!$I$8:$I$141,H508),INDEX(TrackMap!$L$8:$L$141,H508))</x:f>
        <x:v>2209</x:v>
      </x:c>
      <x:c r="L508" s="73" t="str">
        <x:f>INDEX(TrackMap!$F$8:$F$141,H508)</x:f>
        <x:v>→</x:v>
      </x:c>
      <x:c r="M508" s="87" t="n">
        <x:f>MAX(0,G508/Control!$B$17)</x:f>
        <x:v>0.43666382048548064</x:v>
      </x:c>
      <x:c r="N508" s="73" t="n">
        <x:f>IF(N502&gt;0,N502,IF(G508&gt;=Control!$B$17,A508,0))</x:f>
        <x:v>0</x:v>
      </x:c>
      <x:c r="O508" s="91" t="n">
        <x:f>IF(N508&gt;0,Control!$B$17+Control!$B$8+1-N508,G508)-B508/100000</x:f>
        <x:v>292.56472972527206</x:v>
      </x:c>
      <x:c r="P508" s="73" t="n">
        <x:f>COUNTIF($O$506:$O$511,"&gt;"&amp;O508)+1</x:f>
        <x:v>1</x:v>
      </x:c>
      <x:c r="Q508" s="83" t="n">
        <x:f>MAX($G$506:$G$511)-G508</x:f>
        <x:v>0</x:v>
      </x:c>
      <x:c r="R508" s="73" t="str">
        <x:f>INDEX(TrackMap!$B$8:$B$141,H508)</x:f>
        <x:v>短直道</x:v>
      </x:c>
    </x:row>
    <x:row r="509" ht="20" customHeight="1">
      <x:c r="A509" s="73" t="n">
        <x:v>83</x:v>
      </x:c>
      <x:c r="B509" s="73" t="n">
        <x:v>4</x:v>
      </x:c>
      <x:c r="C509" s="73" t="str">
        <x:f>INDEX(Drivers!$B$8:$B$13,B509)</x:f>
        <x:v>紫影</x:v>
      </x:c>
      <x:c r="D509" s="83" t="n">
        <x:f>G503</x:f>
        <x:v>283.6132170246836</x:v>
      </x:c>
      <x:c r="E509" s="83" t="str">
        <x:f>IF(A509=0,"GRID",IF(D509&gt;=Control!$B$17,"FINISHED",IF(AND(A509&gt;=INDEX(Drivers!$G$8:$G$13,B509),A509&lt;INDEX(Drivers!$G$8:$G$13,B509)+INDEX(Drivers!$J$8:$J$13,B509)),"PIT",IF(MOD(A509+INDEX(Drivers!$F$8:$F$13,B509),Control!$B$11)&lt;Control!$B$13,"BOOST","RACE"))))</x:f>
        <x:v>RACE</x:v>
      </x:c>
      <x:c r="F509" s="83" t="n">
        <x:f>IF(OR(E509="GRID",E509="FINISHED",E509="PIT"),0,MAX(Control!$B$15,(INDEX(Drivers!$D$8:$D$13,B509)+INDEX(Drivers!$E$8:$E$13,B509)*SIN((A509+INDEX(Drivers!$F$8:$F$13,B509)+Control!$B$16)*Control!$B$14))*INDEX(TrackMap!$M$8:$M$141,MOD(INT(D509)-1,Control!$B$7)+1)*IF(E509="BOOST",Control!$B$12,1)))</x:f>
        <x:v>2.6647039896617883</x:v>
      </x:c>
      <x:c r="G509" s="83" t="n">
        <x:f>IF(A509=0,D509,MIN(Control!$B$17,D509+F509))</x:f>
        <x:v>286.2779210143454</x:v>
      </x:c>
      <x:c r="H509" s="73" t="n">
        <x:f>MOD(INT(G509)-1,Control!$B$7)+1</x:f>
        <x:v>18</x:v>
      </x:c>
      <x:c r="I509" s="73" t="n">
        <x:f>MIN(Control!$B$6,MAX(1,INT(MAX(0,G509)/Control!$B$7)+1))</x:f>
        <x:v>3</x:v>
      </x:c>
      <x:c r="J509" s="73" t="n">
        <x:f>INDEX(Drivers!$H$8:$H$13,B509)</x:f>
        <x:v>2</x:v>
      </x:c>
      <x:c r="K509" s="73" t="n">
        <x:f>IF(J509=1,INDEX(TrackMap!$I$8:$I$141,H509),INDEX(TrackMap!$L$8:$L$141,H509))</x:f>
        <x:v>2404</x:v>
      </x:c>
      <x:c r="L509" s="73" t="str">
        <x:f>INDEX(TrackMap!$F$8:$F$141,H509)</x:f>
        <x:v>↑</x:v>
      </x:c>
      <x:c r="M509" s="87" t="n">
        <x:f>MAX(0,G509/Control!$B$17)</x:f>
        <x:v>0.4272804791258886</x:v>
      </x:c>
      <x:c r="N509" s="73" t="n">
        <x:f>IF(N503&gt;0,N503,IF(G509&gt;=Control!$B$17,A509,0))</x:f>
        <x:v>0</x:v>
      </x:c>
      <x:c r="O509" s="91" t="n">
        <x:f>IF(N509&gt;0,Control!$B$17+Control!$B$8+1-N509,G509)-B509/100000</x:f>
        <x:v>286.2778810143454</x:v>
      </x:c>
      <x:c r="P509" s="73" t="n">
        <x:f>COUNTIF($O$506:$O$511,"&gt;"&amp;O509)+1</x:f>
        <x:v>4</x:v>
      </x:c>
      <x:c r="Q509" s="83" t="n">
        <x:f>MAX($G$506:$G$511)-G509</x:f>
        <x:v>6.286838710926645</x:v>
      </x:c>
      <x:c r="R509" s="73" t="str">
        <x:f>INDEX(TrackMap!$B$8:$B$141,H509)</x:f>
        <x:v>西侧回弯</x:v>
      </x:c>
    </x:row>
    <x:row r="510" ht="20" customHeight="1">
      <x:c r="A510" s="73" t="n">
        <x:v>83</x:v>
      </x:c>
      <x:c r="B510" s="73" t="n">
        <x:v>5</x:v>
      </x:c>
      <x:c r="C510" s="73" t="str">
        <x:f>INDEX(Drivers!$B$8:$B$13,B510)</x:f>
        <x:v>青锋</x:v>
      </x:c>
      <x:c r="D510" s="83" t="n">
        <x:f>G504</x:f>
        <x:v>277.0302146526027</x:v>
      </x:c>
      <x:c r="E510" s="83" t="str">
        <x:f>IF(A510=0,"GRID",IF(D510&gt;=Control!$B$17,"FINISHED",IF(AND(A510&gt;=INDEX(Drivers!$G$8:$G$13,B510),A510&lt;INDEX(Drivers!$G$8:$G$13,B510)+INDEX(Drivers!$J$8:$J$13,B510)),"PIT",IF(MOD(A510+INDEX(Drivers!$F$8:$F$13,B510),Control!$B$11)&lt;Control!$B$13,"BOOST","RACE"))))</x:f>
        <x:v>RACE</x:v>
      </x:c>
      <x:c r="F510" s="83" t="n">
        <x:f>IF(OR(E510="GRID",E510="FINISHED",E510="PIT"),0,MAX(Control!$B$15,(INDEX(Drivers!$D$8:$D$13,B510)+INDEX(Drivers!$E$8:$E$13,B510)*SIN((A510+INDEX(Drivers!$F$8:$F$13,B510)+Control!$B$16)*Control!$B$14))*INDEX(TrackMap!$M$8:$M$141,MOD(INT(D510)-1,Control!$B$7)+1)*IF(E510="BOOST",Control!$B$12,1)))</x:f>
        <x:v>3.461934613345781</x:v>
      </x:c>
      <x:c r="G510" s="83" t="n">
        <x:f>IF(A510=0,D510,MIN(Control!$B$17,D510+F510))</x:f>
        <x:v>280.49214926594846</x:v>
      </x:c>
      <x:c r="H510" s="73" t="n">
        <x:f>MOD(INT(G510)-1,Control!$B$7)+1</x:f>
        <x:v>12</x:v>
      </x:c>
      <x:c r="I510" s="73" t="n">
        <x:f>MIN(Control!$B$6,MAX(1,INT(MAX(0,G510)/Control!$B$7)+1))</x:f>
        <x:v>3</x:v>
      </x:c>
      <x:c r="J510" s="73" t="n">
        <x:f>INDEX(Drivers!$H$8:$H$13,B510)</x:f>
        <x:v>1</x:v>
      </x:c>
      <x:c r="K510" s="73" t="n">
        <x:f>IF(J510=1,INDEX(TrackMap!$I$8:$I$141,H510),INDEX(TrackMap!$L$8:$L$141,H510))</x:f>
        <x:v>3105</x:v>
      </x:c>
      <x:c r="L510" s="73" t="str">
        <x:f>INDEX(TrackMap!$F$8:$F$141,H510)</x:f>
        <x:v>←</x:v>
      </x:c>
      <x:c r="M510" s="87" t="n">
        <x:f>MAX(0,G510/Control!$B$17)</x:f>
        <x:v>0.41864499890440066</x:v>
      </x:c>
      <x:c r="N510" s="73" t="n">
        <x:f>IF(N504&gt;0,N504,IF(G510&gt;=Control!$B$17,A510,0))</x:f>
        <x:v>0</x:v>
      </x:c>
      <x:c r="O510" s="91" t="n">
        <x:f>IF(N510&gt;0,Control!$B$17+Control!$B$8+1-N510,G510)-B510/100000</x:f>
        <x:v>280.49209926594847</x:v>
      </x:c>
      <x:c r="P510" s="73" t="n">
        <x:f>COUNTIF($O$506:$O$511,"&gt;"&amp;O510)+1</x:f>
        <x:v>6</x:v>
      </x:c>
      <x:c r="Q510" s="83" t="n">
        <x:f>MAX($G$506:$G$511)-G510</x:f>
        <x:v>12.072610459323585</x:v>
      </x:c>
      <x:c r="R510" s="73" t="str">
        <x:f>INDEX(TrackMap!$B$8:$B$141,H510)</x:f>
        <x:v>发车大直道</x:v>
      </x:c>
    </x:row>
    <x:row r="511" ht="20" customHeight="1">
      <x:c r="A511" s="73" t="n">
        <x:v>83</x:v>
      </x:c>
      <x:c r="B511" s="73" t="n">
        <x:v>6</x:v>
      </x:c>
      <x:c r="C511" s="73" t="str">
        <x:f>INDEX(Drivers!$B$8:$B$13,B511)</x:f>
        <x:v>玫速</x:v>
      </x:c>
      <x:c r="D511" s="83" t="n">
        <x:f>G505</x:f>
        <x:v>284.5704206469412</x:v>
      </x:c>
      <x:c r="E511" s="83" t="str">
        <x:f>IF(A511=0,"GRID",IF(D511&gt;=Control!$B$17,"FINISHED",IF(AND(A511&gt;=INDEX(Drivers!$G$8:$G$13,B511),A511&lt;INDEX(Drivers!$G$8:$G$13,B511)+INDEX(Drivers!$J$8:$J$13,B511)),"PIT",IF(MOD(A511+INDEX(Drivers!$F$8:$F$13,B511),Control!$B$11)&lt;Control!$B$13,"BOOST","RACE"))))</x:f>
        <x:v>BOOST</x:v>
      </x:c>
      <x:c r="F511" s="83" t="n">
        <x:f>IF(OR(E511="GRID",E511="FINISHED",E511="PIT"),0,MAX(Control!$B$15,(INDEX(Drivers!$D$8:$D$13,B511)+INDEX(Drivers!$E$8:$E$13,B511)*SIN((A511+INDEX(Drivers!$F$8:$F$13,B511)+Control!$B$16)*Control!$B$14))*INDEX(TrackMap!$M$8:$M$141,MOD(INT(D511)-1,Control!$B$7)+1)*IF(E511="BOOST",Control!$B$12,1)))</x:f>
        <x:v>4.362276299431656</x:v>
      </x:c>
      <x:c r="G511" s="83" t="n">
        <x:f>IF(A511=0,D511,MIN(Control!$B$17,D511+F511))</x:f>
        <x:v>288.93269694637286</x:v>
      </x:c>
      <x:c r="H511" s="73" t="n">
        <x:f>MOD(INT(G511)-1,Control!$B$7)+1</x:f>
        <x:v>20</x:v>
      </x:c>
      <x:c r="I511" s="73" t="n">
        <x:f>MIN(Control!$B$6,MAX(1,INT(MAX(0,G511)/Control!$B$7)+1))</x:f>
        <x:v>3</x:v>
      </x:c>
      <x:c r="J511" s="73" t="n">
        <x:f>INDEX(Drivers!$H$8:$H$13,B511)</x:f>
        <x:v>2</x:v>
      </x:c>
      <x:c r="K511" s="73" t="n">
        <x:f>IF(J511=1,INDEX(TrackMap!$I$8:$I$141,H511),INDEX(TrackMap!$L$8:$L$141,H511))</x:f>
        <x:v>2205</x:v>
      </x:c>
      <x:c r="L511" s="73" t="str">
        <x:f>INDEX(TrackMap!$F$8:$F$141,H511)</x:f>
        <x:v>↑</x:v>
      </x:c>
      <x:c r="M511" s="87" t="n">
        <x:f>MAX(0,G511/Control!$B$17)</x:f>
        <x:v>0.4312428312632431</x:v>
      </x:c>
      <x:c r="N511" s="73" t="n">
        <x:f>IF(N505&gt;0,N505,IF(G511&gt;=Control!$B$17,A511,0))</x:f>
        <x:v>0</x:v>
      </x:c>
      <x:c r="O511" s="91" t="n">
        <x:f>IF(N511&gt;0,Control!$B$17+Control!$B$8+1-N511,G511)-B511/100000</x:f>
        <x:v>288.93263694637284</x:v>
      </x:c>
      <x:c r="P511" s="73" t="n">
        <x:f>COUNTIF($O$506:$O$511,"&gt;"&amp;O511)+1</x:f>
        <x:v>3</x:v>
      </x:c>
      <x:c r="Q511" s="83" t="n">
        <x:f>MAX($G$506:$G$511)-G511</x:f>
        <x:v>3.632062778899183</x:v>
      </x:c>
      <x:c r="R511" s="73" t="str">
        <x:f>INDEX(TrackMap!$B$8:$B$141,H511)</x:f>
        <x:v>西侧回弯</x:v>
      </x:c>
    </x:row>
    <x:row r="512" ht="20" customHeight="1">
      <x:c r="A512" s="73" t="n">
        <x:v>84</x:v>
      </x:c>
      <x:c r="B512" s="73" t="n">
        <x:v>1</x:v>
      </x:c>
      <x:c r="C512" s="73" t="str">
        <x:f>INDEX(Drivers!$B$8:$B$13,B512)</x:f>
        <x:v>赤焰</x:v>
      </x:c>
      <x:c r="D512" s="83" t="n">
        <x:f>G506</x:f>
        <x:v>290.7585634569219</x:v>
      </x:c>
      <x:c r="E512" s="83" t="str">
        <x:f>IF(A512=0,"GRID",IF(D512&gt;=Control!$B$17,"FINISHED",IF(AND(A512&gt;=INDEX(Drivers!$G$8:$G$13,B512),A512&lt;INDEX(Drivers!$G$8:$G$13,B512)+INDEX(Drivers!$J$8:$J$13,B512)),"PIT",IF(MOD(A512+INDEX(Drivers!$F$8:$F$13,B512),Control!$B$11)&lt;Control!$B$13,"BOOST","RACE"))))</x:f>
        <x:v>RACE</x:v>
      </x:c>
      <x:c r="F512" s="83" t="n">
        <x:f>IF(OR(E512="GRID",E512="FINISHED",E512="PIT"),0,MAX(Control!$B$15,(INDEX(Drivers!$D$8:$D$13,B512)+INDEX(Drivers!$E$8:$E$13,B512)*SIN((A512+INDEX(Drivers!$F$8:$F$13,B512)+Control!$B$16)*Control!$B$14))*INDEX(TrackMap!$M$8:$M$141,MOD(INT(D512)-1,Control!$B$7)+1)*IF(E512="BOOST",Control!$B$12,1)))</x:f>
        <x:v>3.1047618337553953</x:v>
      </x:c>
      <x:c r="G512" s="83" t="n">
        <x:f>IF(A512=0,D512,MIN(Control!$B$17,D512+F512))</x:f>
        <x:v>293.86332529067727</x:v>
      </x:c>
      <x:c r="H512" s="73" t="n">
        <x:f>MOD(INT(G512)-1,Control!$B$7)+1</x:f>
        <x:v>25</x:v>
      </x:c>
      <x:c r="I512" s="73" t="n">
        <x:f>MIN(Control!$B$6,MAX(1,INT(MAX(0,G512)/Control!$B$7)+1))</x:f>
        <x:v>3</x:v>
      </x:c>
      <x:c r="J512" s="73" t="n">
        <x:f>INDEX(Drivers!$H$8:$H$13,B512)</x:f>
        <x:v>1</x:v>
      </x:c>
      <x:c r="K512" s="73" t="n">
        <x:f>IF(J512=1,INDEX(TrackMap!$I$8:$I$141,H512),INDEX(TrackMap!$L$8:$L$141,H512))</x:f>
        <x:v>2011</x:v>
      </x:c>
      <x:c r="L512" s="73" t="str">
        <x:f>INDEX(TrackMap!$F$8:$F$141,H512)</x:f>
        <x:v>↑</x:v>
      </x:c>
      <x:c r="M512" s="87" t="n">
        <x:f>MAX(0,G512/Control!$B$17)</x:f>
        <x:v>0.438601978045787</x:v>
      </x:c>
      <x:c r="N512" s="73" t="n">
        <x:f>IF(N506&gt;0,N506,IF(G512&gt;=Control!$B$17,A512,0))</x:f>
        <x:v>0</x:v>
      </x:c>
      <x:c r="O512" s="91" t="n">
        <x:f>IF(N512&gt;0,Control!$B$17+Control!$B$8+1-N512,G512)-B512/100000</x:f>
        <x:v>293.8633152906773</x:v>
      </x:c>
      <x:c r="P512" s="73" t="n">
        <x:f>COUNTIF($O$512:$O$517,"&gt;"&amp;O512)+1</x:f>
        <x:v>2</x:v>
      </x:c>
      <x:c r="Q512" s="83" t="n">
        <x:f>MAX($G$512:$G$517)-G512</x:f>
        <x:v>1.3674506886130757</x:v>
      </x:c>
      <x:c r="R512" s="73" t="str">
        <x:f>INDEX(TrackMap!$B$8:$B$141,H512)</x:f>
        <x:v>西侧上坡弯</x:v>
      </x:c>
    </x:row>
    <x:row r="513" ht="20" customHeight="1">
      <x:c r="A513" s="73" t="n">
        <x:v>84</x:v>
      </x:c>
      <x:c r="B513" s="73" t="n">
        <x:v>2</x:v>
      </x:c>
      <x:c r="C513" s="73" t="str">
        <x:f>INDEX(Drivers!$B$8:$B$13,B513)</x:f>
        <x:v>蓝电</x:v>
      </x:c>
      <x:c r="D513" s="83" t="n">
        <x:f>G507</x:f>
        <x:v>283.92603292965737</x:v>
      </x:c>
      <x:c r="E513" s="83" t="str">
        <x:f>IF(A513=0,"GRID",IF(D513&gt;=Control!$B$17,"FINISHED",IF(AND(A513&gt;=INDEX(Drivers!$G$8:$G$13,B513),A513&lt;INDEX(Drivers!$G$8:$G$13,B513)+INDEX(Drivers!$J$8:$J$13,B513)),"PIT",IF(MOD(A513+INDEX(Drivers!$F$8:$F$13,B513),Control!$B$11)&lt;Control!$B$13,"BOOST","RACE"))))</x:f>
        <x:v>BOOST</x:v>
      </x:c>
      <x:c r="F513" s="83" t="n">
        <x:f>IF(OR(E513="GRID",E513="FINISHED",E513="PIT"),0,MAX(Control!$B$15,(INDEX(Drivers!$D$8:$D$13,B513)+INDEX(Drivers!$E$8:$E$13,B513)*SIN((A513+INDEX(Drivers!$F$8:$F$13,B513)+Control!$B$16)*Control!$B$14))*INDEX(TrackMap!$M$8:$M$141,MOD(INT(D513)-1,Control!$B$7)+1)*IF(E513="BOOST",Control!$B$12,1)))</x:f>
        <x:v>4.346653247614834</x:v>
      </x:c>
      <x:c r="G513" s="83" t="n">
        <x:f>IF(A513=0,D513,MIN(Control!$B$17,D513+F513))</x:f>
        <x:v>288.2726861772722</x:v>
      </x:c>
      <x:c r="H513" s="73" t="n">
        <x:f>MOD(INT(G513)-1,Control!$B$7)+1</x:f>
        <x:v>20</x:v>
      </x:c>
      <x:c r="I513" s="73" t="n">
        <x:f>MIN(Control!$B$6,MAX(1,INT(MAX(0,G513)/Control!$B$7)+1))</x:f>
        <x:v>3</x:v>
      </x:c>
      <x:c r="J513" s="73" t="n">
        <x:f>INDEX(Drivers!$H$8:$H$13,B513)</x:f>
        <x:v>2</x:v>
      </x:c>
      <x:c r="K513" s="73" t="n">
        <x:f>IF(J513=1,INDEX(TrackMap!$I$8:$I$141,H513),INDEX(TrackMap!$L$8:$L$141,H513))</x:f>
        <x:v>2205</x:v>
      </x:c>
      <x:c r="L513" s="73" t="str">
        <x:f>INDEX(TrackMap!$F$8:$F$141,H513)</x:f>
        <x:v>↑</x:v>
      </x:c>
      <x:c r="M513" s="87" t="n">
        <x:f>MAX(0,G513/Control!$B$17)</x:f>
        <x:v>0.43025774056309285</x:v>
      </x:c>
      <x:c r="N513" s="73" t="n">
        <x:f>IF(N507&gt;0,N507,IF(G513&gt;=Control!$B$17,A513,0))</x:f>
        <x:v>0</x:v>
      </x:c>
      <x:c r="O513" s="91" t="n">
        <x:f>IF(N513&gt;0,Control!$B$17+Control!$B$8+1-N513,G513)-B513/100000</x:f>
        <x:v>288.2726661772722</x:v>
      </x:c>
      <x:c r="P513" s="73" t="n">
        <x:f>COUNTIF($O$512:$O$517,"&gt;"&amp;O513)+1</x:f>
        <x:v>5</x:v>
      </x:c>
      <x:c r="Q513" s="83" t="n">
        <x:f>MAX($G$512:$G$517)-G513</x:f>
        <x:v>6.958089802018151</x:v>
      </x:c>
      <x:c r="R513" s="73" t="str">
        <x:f>INDEX(TrackMap!$B$8:$B$141,H513)</x:f>
        <x:v>西侧回弯</x:v>
      </x:c>
    </x:row>
    <x:row r="514" ht="20" customHeight="1">
      <x:c r="A514" s="73" t="n">
        <x:v>84</x:v>
      </x:c>
      <x:c r="B514" s="73" t="n">
        <x:v>3</x:v>
      </x:c>
      <x:c r="C514" s="73" t="str">
        <x:f>INDEX(Drivers!$B$8:$B$13,B514)</x:f>
        <x:v>金翼</x:v>
      </x:c>
      <x:c r="D514" s="83" t="n">
        <x:f>G508</x:f>
        <x:v>292.56475972527204</x:v>
      </x:c>
      <x:c r="E514" s="83" t="str">
        <x:f>IF(A514=0,"GRID",IF(D514&gt;=Control!$B$17,"FINISHED",IF(AND(A514&gt;=INDEX(Drivers!$G$8:$G$13,B514),A514&lt;INDEX(Drivers!$G$8:$G$13,B514)+INDEX(Drivers!$J$8:$J$13,B514)),"PIT",IF(MOD(A514+INDEX(Drivers!$F$8:$F$13,B514),Control!$B$11)&lt;Control!$B$13,"BOOST","RACE"))))</x:f>
        <x:v>RACE</x:v>
      </x:c>
      <x:c r="F514" s="83" t="n">
        <x:f>IF(OR(E514="GRID",E514="FINISHED",E514="PIT"),0,MAX(Control!$B$15,(INDEX(Drivers!$D$8:$D$13,B514)+INDEX(Drivers!$E$8:$E$13,B514)*SIN((A514+INDEX(Drivers!$F$8:$F$13,B514)+Control!$B$16)*Control!$B$14))*INDEX(TrackMap!$M$8:$M$141,MOD(INT(D514)-1,Control!$B$7)+1)*IF(E514="BOOST",Control!$B$12,1)))</x:f>
        <x:v>2.6660162540182872</x:v>
      </x:c>
      <x:c r="G514" s="83" t="n">
        <x:f>IF(A514=0,D514,MIN(Control!$B$17,D514+F514))</x:f>
        <x:v>295.23077597929034</x:v>
      </x:c>
      <x:c r="H514" s="73" t="n">
        <x:f>MOD(INT(G514)-1,Control!$B$7)+1</x:f>
        <x:v>27</x:v>
      </x:c>
      <x:c r="I514" s="73" t="n">
        <x:f>MIN(Control!$B$6,MAX(1,INT(MAX(0,G514)/Control!$B$7)+1))</x:f>
        <x:v>3</x:v>
      </x:c>
      <x:c r="J514" s="73" t="n">
        <x:f>INDEX(Drivers!$H$8:$H$13,B514)</x:f>
        <x:v>1</x:v>
      </x:c>
      <x:c r="K514" s="73" t="n">
        <x:f>IF(J514=1,INDEX(TrackMap!$I$8:$I$141,H514),INDEX(TrackMap!$L$8:$L$141,H514))</x:f>
        <x:v>1810</x:v>
      </x:c>
      <x:c r="L514" s="73" t="str">
        <x:f>INDEX(TrackMap!$F$8:$F$141,H514)</x:f>
        <x:v>↑</x:v>
      </x:c>
      <x:c r="M514" s="87" t="n">
        <x:f>MAX(0,G514/Control!$B$17)</x:f>
        <x:v>0.44064294922282143</x:v>
      </x:c>
      <x:c r="N514" s="73" t="n">
        <x:f>IF(N508&gt;0,N508,IF(G514&gt;=Control!$B$17,A514,0))</x:f>
        <x:v>0</x:v>
      </x:c>
      <x:c r="O514" s="91" t="n">
        <x:f>IF(N514&gt;0,Control!$B$17+Control!$B$8+1-N514,G514)-B514/100000</x:f>
        <x:v>295.23074597929036</x:v>
      </x:c>
      <x:c r="P514" s="73" t="n">
        <x:f>COUNTIF($O$512:$O$517,"&gt;"&amp;O514)+1</x:f>
        <x:v>1</x:v>
      </x:c>
      <x:c r="Q514" s="83" t="n">
        <x:f>MAX($G$512:$G$517)-G514</x:f>
        <x:v>0</x:v>
      </x:c>
      <x:c r="R514" s="73" t="str">
        <x:f>INDEX(TrackMap!$B$8:$B$141,H514)</x:f>
        <x:v>西侧上坡弯</x:v>
      </x:c>
    </x:row>
    <x:row r="515" ht="20" customHeight="1">
      <x:c r="A515" s="73" t="n">
        <x:v>84</x:v>
      </x:c>
      <x:c r="B515" s="73" t="n">
        <x:v>4</x:v>
      </x:c>
      <x:c r="C515" s="73" t="str">
        <x:f>INDEX(Drivers!$B$8:$B$13,B515)</x:f>
        <x:v>紫影</x:v>
      </x:c>
      <x:c r="D515" s="83" t="n">
        <x:f>G509</x:f>
        <x:v>286.2779210143454</x:v>
      </x:c>
      <x:c r="E515" s="83" t="str">
        <x:f>IF(A515=0,"GRID",IF(D515&gt;=Control!$B$17,"FINISHED",IF(AND(A515&gt;=INDEX(Drivers!$G$8:$G$13,B515),A515&lt;INDEX(Drivers!$G$8:$G$13,B515)+INDEX(Drivers!$J$8:$J$13,B515)),"PIT",IF(MOD(A515+INDEX(Drivers!$F$8:$F$13,B515),Control!$B$11)&lt;Control!$B$13,"BOOST","RACE"))))</x:f>
        <x:v>RACE</x:v>
      </x:c>
      <x:c r="F515" s="83" t="n">
        <x:f>IF(OR(E515="GRID",E515="FINISHED",E515="PIT"),0,MAX(Control!$B$15,(INDEX(Drivers!$D$8:$D$13,B515)+INDEX(Drivers!$E$8:$E$13,B515)*SIN((A515+INDEX(Drivers!$F$8:$F$13,B515)+Control!$B$16)*Control!$B$14))*INDEX(TrackMap!$M$8:$M$141,MOD(INT(D515)-1,Control!$B$7)+1)*IF(E515="BOOST",Control!$B$12,1)))</x:f>
        <x:v>2.8295725854256037</x:v>
      </x:c>
      <x:c r="G515" s="83" t="n">
        <x:f>IF(A515=0,D515,MIN(Control!$B$17,D515+F515))</x:f>
        <x:v>289.107493599771</x:v>
      </x:c>
      <x:c r="H515" s="73" t="n">
        <x:f>MOD(INT(G515)-1,Control!$B$7)+1</x:f>
        <x:v>21</x:v>
      </x:c>
      <x:c r="I515" s="73" t="n">
        <x:f>MIN(Control!$B$6,MAX(1,INT(MAX(0,G515)/Control!$B$7)+1))</x:f>
        <x:v>3</x:v>
      </x:c>
      <x:c r="J515" s="73" t="n">
        <x:f>INDEX(Drivers!$H$8:$H$13,B515)</x:f>
        <x:v>2</x:v>
      </x:c>
      <x:c r="K515" s="73" t="n">
        <x:f>IF(J515=1,INDEX(TrackMap!$I$8:$I$141,H515),INDEX(TrackMap!$L$8:$L$141,H515))</x:f>
        <x:v>2106</x:v>
      </x:c>
      <x:c r="L515" s="73" t="str">
        <x:f>INDEX(TrackMap!$F$8:$F$141,H515)</x:f>
        <x:v>→</x:v>
      </x:c>
      <x:c r="M515" s="87" t="n">
        <x:f>MAX(0,G515/Control!$B$17)</x:f>
        <x:v>0.43150372179070295</x:v>
      </x:c>
      <x:c r="N515" s="73" t="n">
        <x:f>IF(N509&gt;0,N509,IF(G515&gt;=Control!$B$17,A515,0))</x:f>
        <x:v>0</x:v>
      </x:c>
      <x:c r="O515" s="91" t="n">
        <x:f>IF(N515&gt;0,Control!$B$17+Control!$B$8+1-N515,G515)-B515/100000</x:f>
        <x:v>289.10745359977096</x:v>
      </x:c>
      <x:c r="P515" s="73" t="n">
        <x:f>COUNTIF($O$512:$O$517,"&gt;"&amp;O515)+1</x:f>
        <x:v>4</x:v>
      </x:c>
      <x:c r="Q515" s="83" t="n">
        <x:f>MAX($G$512:$G$517)-G515</x:f>
        <x:v>6.123282379519367</x:v>
      </x:c>
      <x:c r="R515" s="73" t="str">
        <x:f>INDEX(TrackMap!$B$8:$B$141,H515)</x:f>
        <x:v>短直道</x:v>
      </x:c>
    </x:row>
    <x:row r="516" ht="20" customHeight="1">
      <x:c r="A516" s="73" t="n">
        <x:v>84</x:v>
      </x:c>
      <x:c r="B516" s="73" t="n">
        <x:v>5</x:v>
      </x:c>
      <x:c r="C516" s="73" t="str">
        <x:f>INDEX(Drivers!$B$8:$B$13,B516)</x:f>
        <x:v>青锋</x:v>
      </x:c>
      <x:c r="D516" s="83" t="n">
        <x:f>G510</x:f>
        <x:v>280.49214926594846</x:v>
      </x:c>
      <x:c r="E516" s="83" t="str">
        <x:f>IF(A516=0,"GRID",IF(D516&gt;=Control!$B$17,"FINISHED",IF(AND(A516&gt;=INDEX(Drivers!$G$8:$G$13,B516),A516&lt;INDEX(Drivers!$G$8:$G$13,B516)+INDEX(Drivers!$J$8:$J$13,B516)),"PIT",IF(MOD(A516+INDEX(Drivers!$F$8:$F$13,B516),Control!$B$11)&lt;Control!$B$13,"BOOST","RACE"))))</x:f>
        <x:v>RACE</x:v>
      </x:c>
      <x:c r="F516" s="83" t="n">
        <x:f>IF(OR(E516="GRID",E516="FINISHED",E516="PIT"),0,MAX(Control!$B$15,(INDEX(Drivers!$D$8:$D$13,B516)+INDEX(Drivers!$E$8:$E$13,B516)*SIN((A516+INDEX(Drivers!$F$8:$F$13,B516)+Control!$B$16)*Control!$B$14))*INDEX(TrackMap!$M$8:$M$141,MOD(INT(D516)-1,Control!$B$7)+1)*IF(E516="BOOST",Control!$B$12,1)))</x:f>
        <x:v>2.847979615798577</x:v>
      </x:c>
      <x:c r="G516" s="83" t="n">
        <x:f>IF(A516=0,D516,MIN(Control!$B$17,D516+F516))</x:f>
        <x:v>283.34012888174703</x:v>
      </x:c>
      <x:c r="H516" s="73" t="n">
        <x:f>MOD(INT(G516)-1,Control!$B$7)+1</x:f>
        <x:v>15</x:v>
      </x:c>
      <x:c r="I516" s="73" t="n">
        <x:f>MIN(Control!$B$6,MAX(1,INT(MAX(0,G516)/Control!$B$7)+1))</x:f>
        <x:v>3</x:v>
      </x:c>
      <x:c r="J516" s="73" t="n">
        <x:f>INDEX(Drivers!$H$8:$H$13,B516)</x:f>
        <x:v>1</x:v>
      </x:c>
      <x:c r="K516" s="73" t="n">
        <x:f>IF(J516=1,INDEX(TrackMap!$I$8:$I$141,H516),INDEX(TrackMap!$L$8:$L$141,H516))</x:f>
        <x:v>2703</x:v>
      </x:c>
      <x:c r="L516" s="73" t="str">
        <x:f>INDEX(TrackMap!$F$8:$F$141,H516)</x:f>
        <x:v>↑</x:v>
      </x:c>
      <x:c r="M516" s="87" t="n">
        <x:f>MAX(0,G516/Control!$B$17)</x:f>
        <x:v>0.42289571474887616</x:v>
      </x:c>
      <x:c r="N516" s="73" t="n">
        <x:f>IF(N510&gt;0,N510,IF(G516&gt;=Control!$B$17,A516,0))</x:f>
        <x:v>0</x:v>
      </x:c>
      <x:c r="O516" s="91" t="n">
        <x:f>IF(N516&gt;0,Control!$B$17+Control!$B$8+1-N516,G516)-B516/100000</x:f>
        <x:v>283.34007888174705</x:v>
      </x:c>
      <x:c r="P516" s="73" t="n">
        <x:f>COUNTIF($O$512:$O$517,"&gt;"&amp;O516)+1</x:f>
        <x:v>6</x:v>
      </x:c>
      <x:c r="Q516" s="83" t="n">
        <x:f>MAX($G$512:$G$517)-G516</x:f>
        <x:v>11.890647097543308</x:v>
      </x:c>
      <x:c r="R516" s="73" t="str">
        <x:f>INDEX(TrackMap!$B$8:$B$141,H516)</x:f>
        <x:v>西侧回弯</x:v>
      </x:c>
    </x:row>
    <x:row r="517" ht="20" customHeight="1">
      <x:c r="A517" s="73" t="n">
        <x:v>84</x:v>
      </x:c>
      <x:c r="B517" s="73" t="n">
        <x:v>6</x:v>
      </x:c>
      <x:c r="C517" s="73" t="str">
        <x:f>INDEX(Drivers!$B$8:$B$13,B517)</x:f>
        <x:v>玫速</x:v>
      </x:c>
      <x:c r="D517" s="83" t="n">
        <x:f>G511</x:f>
        <x:v>288.93269694637286</x:v>
      </x:c>
      <x:c r="E517" s="83" t="str">
        <x:f>IF(A517=0,"GRID",IF(D517&gt;=Control!$B$17,"FINISHED",IF(AND(A517&gt;=INDEX(Drivers!$G$8:$G$13,B517),A517&lt;INDEX(Drivers!$G$8:$G$13,B517)+INDEX(Drivers!$J$8:$J$13,B517)),"PIT",IF(MOD(A517+INDEX(Drivers!$F$8:$F$13,B517),Control!$B$11)&lt;Control!$B$13,"BOOST","RACE"))))</x:f>
        <x:v>RACE</x:v>
      </x:c>
      <x:c r="F517" s="83" t="n">
        <x:f>IF(OR(E517="GRID",E517="FINISHED",E517="PIT"),0,MAX(Control!$B$15,(INDEX(Drivers!$D$8:$D$13,B517)+INDEX(Drivers!$E$8:$E$13,B517)*SIN((A517+INDEX(Drivers!$F$8:$F$13,B517)+Control!$B$16)*Control!$B$14))*INDEX(TrackMap!$M$8:$M$141,MOD(INT(D517)-1,Control!$B$7)+1)*IF(E517="BOOST",Control!$B$12,1)))</x:f>
        <x:v>3.099154642560971</x:v>
      </x:c>
      <x:c r="G517" s="83" t="n">
        <x:f>IF(A517=0,D517,MIN(Control!$B$17,D517+F517))</x:f>
        <x:v>292.0318515889338</x:v>
      </x:c>
      <x:c r="H517" s="73" t="n">
        <x:f>MOD(INT(G517)-1,Control!$B$7)+1</x:f>
        <x:v>24</x:v>
      </x:c>
      <x:c r="I517" s="73" t="n">
        <x:f>MIN(Control!$B$6,MAX(1,INT(MAX(0,G517)/Control!$B$7)+1))</x:f>
        <x:v>3</x:v>
      </x:c>
      <x:c r="J517" s="73" t="n">
        <x:f>INDEX(Drivers!$H$8:$H$13,B517)</x:f>
        <x:v>2</x:v>
      </x:c>
      <x:c r="K517" s="73" t="n">
        <x:f>IF(J517=1,INDEX(TrackMap!$I$8:$I$141,H517),INDEX(TrackMap!$L$8:$L$141,H517))</x:f>
        <x:v>2109</x:v>
      </x:c>
      <x:c r="L517" s="73" t="str">
        <x:f>INDEX(TrackMap!$F$8:$F$141,H517)</x:f>
        <x:v>→</x:v>
      </x:c>
      <x:c r="M517" s="87" t="n">
        <x:f>MAX(0,G517/Control!$B$17)</x:f>
        <x:v>0.4358684352073639</x:v>
      </x:c>
      <x:c r="N517" s="73" t="n">
        <x:f>IF(N511&gt;0,N511,IF(G517&gt;=Control!$B$17,A517,0))</x:f>
        <x:v>0</x:v>
      </x:c>
      <x:c r="O517" s="91" t="n">
        <x:f>IF(N517&gt;0,Control!$B$17+Control!$B$8+1-N517,G517)-B517/100000</x:f>
        <x:v>292.0317915889338</x:v>
      </x:c>
      <x:c r="P517" s="73" t="n">
        <x:f>COUNTIF($O$512:$O$517,"&gt;"&amp;O517)+1</x:f>
        <x:v>3</x:v>
      </x:c>
      <x:c r="Q517" s="83" t="n">
        <x:f>MAX($G$512:$G$517)-G517</x:f>
        <x:v>3.198924390356524</x:v>
      </x:c>
      <x:c r="R517" s="73" t="str">
        <x:f>INDEX(TrackMap!$B$8:$B$141,H517)</x:f>
        <x:v>短直道</x:v>
      </x:c>
    </x:row>
    <x:row r="518" ht="20" customHeight="1">
      <x:c r="A518" s="73" t="n">
        <x:v>85</x:v>
      </x:c>
      <x:c r="B518" s="73" t="n">
        <x:v>1</x:v>
      </x:c>
      <x:c r="C518" s="73" t="str">
        <x:f>INDEX(Drivers!$B$8:$B$13,B518)</x:f>
        <x:v>赤焰</x:v>
      </x:c>
      <x:c r="D518" s="83" t="n">
        <x:f>G512</x:f>
        <x:v>293.86332529067727</x:v>
      </x:c>
      <x:c r="E518" s="83" t="str">
        <x:f>IF(A518=0,"GRID",IF(D518&gt;=Control!$B$17,"FINISHED",IF(AND(A518&gt;=INDEX(Drivers!$G$8:$G$13,B518),A518&lt;INDEX(Drivers!$G$8:$G$13,B518)+INDEX(Drivers!$J$8:$J$13,B518)),"PIT",IF(MOD(A518+INDEX(Drivers!$F$8:$F$13,B518),Control!$B$11)&lt;Control!$B$13,"BOOST","RACE"))))</x:f>
        <x:v>RACE</x:v>
      </x:c>
      <x:c r="F518" s="83" t="n">
        <x:f>IF(OR(E518="GRID",E518="FINISHED",E518="PIT"),0,MAX(Control!$B$15,(INDEX(Drivers!$D$8:$D$13,B518)+INDEX(Drivers!$E$8:$E$13,B518)*SIN((A518+INDEX(Drivers!$F$8:$F$13,B518)+Control!$B$16)*Control!$B$14))*INDEX(TrackMap!$M$8:$M$141,MOD(INT(D518)-1,Control!$B$7)+1)*IF(E518="BOOST",Control!$B$12,1)))</x:f>
        <x:v>2.4708640686737335</x:v>
      </x:c>
      <x:c r="G518" s="83" t="n">
        <x:f>IF(A518=0,D518,MIN(Control!$B$17,D518+F518))</x:f>
        <x:v>296.334189359351</x:v>
      </x:c>
      <x:c r="H518" s="73" t="n">
        <x:f>MOD(INT(G518)-1,Control!$B$7)+1</x:f>
        <x:v>28</x:v>
      </x:c>
      <x:c r="I518" s="73" t="n">
        <x:f>MIN(Control!$B$6,MAX(1,INT(MAX(0,G518)/Control!$B$7)+1))</x:f>
        <x:v>3</x:v>
      </x:c>
      <x:c r="J518" s="73" t="n">
        <x:f>INDEX(Drivers!$H$8:$H$13,B518)</x:f>
        <x:v>1</x:v>
      </x:c>
      <x:c r="K518" s="73" t="n">
        <x:f>IF(J518=1,INDEX(TrackMap!$I$8:$I$141,H518),INDEX(TrackMap!$L$8:$L$141,H518))</x:f>
        <x:v>1710</x:v>
      </x:c>
      <x:c r="L518" s="73" t="str">
        <x:f>INDEX(TrackMap!$F$8:$F$141,H518)</x:f>
        <x:v>↑</x:v>
      </x:c>
      <x:c r="M518" s="87" t="n">
        <x:f>MAX(0,G518/Control!$B$17)</x:f>
        <x:v>0.44228983486470297</x:v>
      </x:c>
      <x:c r="N518" s="73" t="n">
        <x:f>IF(N512&gt;0,N512,IF(G518&gt;=Control!$B$17,A518,0))</x:f>
        <x:v>0</x:v>
      </x:c>
      <x:c r="O518" s="91" t="n">
        <x:f>IF(N518&gt;0,Control!$B$17+Control!$B$8+1-N518,G518)-B518/100000</x:f>
        <x:v>296.334179359351</x:v>
      </x:c>
      <x:c r="P518" s="73" t="n">
        <x:f>COUNTIF($O$518:$O$523,"&gt;"&amp;O518)+1</x:f>
        <x:v>2</x:v>
      </x:c>
      <x:c r="Q518" s="83" t="n">
        <x:f>MAX($G$518:$G$523)-G518</x:f>
        <x:v>1.461036589696164</x:v>
      </x:c>
      <x:c r="R518" s="73" t="str">
        <x:f>INDEX(TrackMap!$B$8:$B$141,H518)</x:f>
        <x:v>西侧上坡弯</x:v>
      </x:c>
    </x:row>
    <x:row r="519" ht="20" customHeight="1">
      <x:c r="A519" s="73" t="n">
        <x:v>85</x:v>
      </x:c>
      <x:c r="B519" s="73" t="n">
        <x:v>2</x:v>
      </x:c>
      <x:c r="C519" s="73" t="str">
        <x:f>INDEX(Drivers!$B$8:$B$13,B519)</x:f>
        <x:v>蓝电</x:v>
      </x:c>
      <x:c r="D519" s="83" t="n">
        <x:f>G513</x:f>
        <x:v>288.2726861772722</x:v>
      </x:c>
      <x:c r="E519" s="83" t="str">
        <x:f>IF(A519=0,"GRID",IF(D519&gt;=Control!$B$17,"FINISHED",IF(AND(A519&gt;=INDEX(Drivers!$G$8:$G$13,B519),A519&lt;INDEX(Drivers!$G$8:$G$13,B519)+INDEX(Drivers!$J$8:$J$13,B519)),"PIT",IF(MOD(A519+INDEX(Drivers!$F$8:$F$13,B519),Control!$B$11)&lt;Control!$B$13,"BOOST","RACE"))))</x:f>
        <x:v>BOOST</x:v>
      </x:c>
      <x:c r="F519" s="83" t="n">
        <x:f>IF(OR(E519="GRID",E519="FINISHED",E519="PIT"),0,MAX(Control!$B$15,(INDEX(Drivers!$D$8:$D$13,B519)+INDEX(Drivers!$E$8:$E$13,B519)*SIN((A519+INDEX(Drivers!$F$8:$F$13,B519)+Control!$B$16)*Control!$B$14))*INDEX(TrackMap!$M$8:$M$141,MOD(INT(D519)-1,Control!$B$7)+1)*IF(E519="BOOST",Control!$B$12,1)))</x:f>
        <x:v>4.40075331156212</x:v>
      </x:c>
      <x:c r="G519" s="83" t="n">
        <x:f>IF(A519=0,D519,MIN(Control!$B$17,D519+F519))</x:f>
        <x:v>292.67343948883433</x:v>
      </x:c>
      <x:c r="H519" s="73" t="n">
        <x:f>MOD(INT(G519)-1,Control!$B$7)+1</x:f>
        <x:v>24</x:v>
      </x:c>
      <x:c r="I519" s="73" t="n">
        <x:f>MIN(Control!$B$6,MAX(1,INT(MAX(0,G519)/Control!$B$7)+1))</x:f>
        <x:v>3</x:v>
      </x:c>
      <x:c r="J519" s="73" t="n">
        <x:f>INDEX(Drivers!$H$8:$H$13,B519)</x:f>
        <x:v>2</x:v>
      </x:c>
      <x:c r="K519" s="73" t="n">
        <x:f>IF(J519=1,INDEX(TrackMap!$I$8:$I$141,H519),INDEX(TrackMap!$L$8:$L$141,H519))</x:f>
        <x:v>2109</x:v>
      </x:c>
      <x:c r="L519" s="73" t="str">
        <x:f>INDEX(TrackMap!$F$8:$F$141,H519)</x:f>
        <x:v>→</x:v>
      </x:c>
      <x:c r="M519" s="87" t="n">
        <x:f>MAX(0,G519/Control!$B$17)</x:f>
        <x:v>0.43682602908781243</x:v>
      </x:c>
      <x:c r="N519" s="73" t="n">
        <x:f>IF(N513&gt;0,N513,IF(G519&gt;=Control!$B$17,A519,0))</x:f>
        <x:v>0</x:v>
      </x:c>
      <x:c r="O519" s="91" t="n">
        <x:f>IF(N519&gt;0,Control!$B$17+Control!$B$8+1-N519,G519)-B519/100000</x:f>
        <x:v>292.6734194888343</x:v>
      </x:c>
      <x:c r="P519" s="73" t="n">
        <x:f>COUNTIF($O$518:$O$523,"&gt;"&amp;O519)+1</x:f>
        <x:v>4</x:v>
      </x:c>
      <x:c r="Q519" s="83" t="n">
        <x:f>MAX($G$518:$G$523)-G519</x:f>
        <x:v>5.121786460212832</x:v>
      </x:c>
      <x:c r="R519" s="73" t="str">
        <x:f>INDEX(TrackMap!$B$8:$B$141,H519)</x:f>
        <x:v>短直道</x:v>
      </x:c>
    </x:row>
    <x:row r="520" ht="20" customHeight="1">
      <x:c r="A520" s="73" t="n">
        <x:v>85</x:v>
      </x:c>
      <x:c r="B520" s="73" t="n">
        <x:v>3</x:v>
      </x:c>
      <x:c r="C520" s="73" t="str">
        <x:f>INDEX(Drivers!$B$8:$B$13,B520)</x:f>
        <x:v>金翼</x:v>
      </x:c>
      <x:c r="D520" s="83" t="n">
        <x:f>G514</x:f>
        <x:v>295.23077597929034</x:v>
      </x:c>
      <x:c r="E520" s="83" t="str">
        <x:f>IF(A520=0,"GRID",IF(D520&gt;=Control!$B$17,"FINISHED",IF(AND(A520&gt;=INDEX(Drivers!$G$8:$G$13,B520),A520&lt;INDEX(Drivers!$G$8:$G$13,B520)+INDEX(Drivers!$J$8:$J$13,B520)),"PIT",IF(MOD(A520+INDEX(Drivers!$F$8:$F$13,B520),Control!$B$11)&lt;Control!$B$13,"BOOST","RACE"))))</x:f>
        <x:v>RACE</x:v>
      </x:c>
      <x:c r="F520" s="83" t="n">
        <x:f>IF(OR(E520="GRID",E520="FINISHED",E520="PIT"),0,MAX(Control!$B$15,(INDEX(Drivers!$D$8:$D$13,B520)+INDEX(Drivers!$E$8:$E$13,B520)*SIN((A520+INDEX(Drivers!$F$8:$F$13,B520)+Control!$B$16)*Control!$B$14))*INDEX(TrackMap!$M$8:$M$141,MOD(INT(D520)-1,Control!$B$7)+1)*IF(E520="BOOST",Control!$B$12,1)))</x:f>
        <x:v>2.564449969756794</x:v>
      </x:c>
      <x:c r="G520" s="83" t="n">
        <x:f>IF(A520=0,D520,MIN(Control!$B$17,D520+F520))</x:f>
        <x:v>297.79522594904716</x:v>
      </x:c>
      <x:c r="H520" s="73" t="n">
        <x:f>MOD(INT(G520)-1,Control!$B$7)+1</x:f>
        <x:v>29</x:v>
      </x:c>
      <x:c r="I520" s="73" t="n">
        <x:f>MIN(Control!$B$6,MAX(1,INT(MAX(0,G520)/Control!$B$7)+1))</x:f>
        <x:v>3</x:v>
      </x:c>
      <x:c r="J520" s="73" t="n">
        <x:f>INDEX(Drivers!$H$8:$H$13,B520)</x:f>
        <x:v>1</x:v>
      </x:c>
      <x:c r="K520" s="73" t="n">
        <x:f>IF(J520=1,INDEX(TrackMap!$I$8:$I$141,H520),INDEX(TrackMap!$L$8:$L$141,H520))</x:f>
        <x:v>1610</x:v>
      </x:c>
      <x:c r="L520" s="73" t="str">
        <x:f>INDEX(TrackMap!$F$8:$F$141,H520)</x:f>
        <x:v>↑</x:v>
      </x:c>
      <x:c r="M520" s="87" t="n">
        <x:f>MAX(0,G520/Control!$B$17)</x:f>
        <x:v>0.44447048649111515</x:v>
      </x:c>
      <x:c r="N520" s="73" t="n">
        <x:f>IF(N514&gt;0,N514,IF(G520&gt;=Control!$B$17,A520,0))</x:f>
        <x:v>0</x:v>
      </x:c>
      <x:c r="O520" s="91" t="n">
        <x:f>IF(N520&gt;0,Control!$B$17+Control!$B$8+1-N520,G520)-B520/100000</x:f>
        <x:v>297.7951959490472</x:v>
      </x:c>
      <x:c r="P520" s="73" t="n">
        <x:f>COUNTIF($O$518:$O$523,"&gt;"&amp;O520)+1</x:f>
        <x:v>1</x:v>
      </x:c>
      <x:c r="Q520" s="83" t="n">
        <x:f>MAX($G$518:$G$523)-G520</x:f>
        <x:v>0</x:v>
      </x:c>
      <x:c r="R520" s="73" t="str">
        <x:f>INDEX(TrackMap!$B$8:$B$141,H520)</x:f>
        <x:v>西侧上坡弯</x:v>
      </x:c>
    </x:row>
    <x:row r="521" ht="20" customHeight="1">
      <x:c r="A521" s="73" t="n">
        <x:v>85</x:v>
      </x:c>
      <x:c r="B521" s="73" t="n">
        <x:v>4</x:v>
      </x:c>
      <x:c r="C521" s="73" t="str">
        <x:f>INDEX(Drivers!$B$8:$B$13,B521)</x:f>
        <x:v>紫影</x:v>
      </x:c>
      <x:c r="D521" s="83" t="n">
        <x:f>G515</x:f>
        <x:v>289.107493599771</x:v>
      </x:c>
      <x:c r="E521" s="83" t="str">
        <x:f>IF(A521=0,"GRID",IF(D521&gt;=Control!$B$17,"FINISHED",IF(AND(A521&gt;=INDEX(Drivers!$G$8:$G$13,B521),A521&lt;INDEX(Drivers!$G$8:$G$13,B521)+INDEX(Drivers!$J$8:$J$13,B521)),"PIT",IF(MOD(A521+INDEX(Drivers!$F$8:$F$13,B521),Control!$B$11)&lt;Control!$B$13,"BOOST","RACE"))))</x:f>
        <x:v>RACE</x:v>
      </x:c>
      <x:c r="F521" s="83" t="n">
        <x:f>IF(OR(E521="GRID",E521="FINISHED",E521="PIT"),0,MAX(Control!$B$15,(INDEX(Drivers!$D$8:$D$13,B521)+INDEX(Drivers!$E$8:$E$13,B521)*SIN((A521+INDEX(Drivers!$F$8:$F$13,B521)+Control!$B$16)*Control!$B$14))*INDEX(TrackMap!$M$8:$M$141,MOD(INT(D521)-1,Control!$B$7)+1)*IF(E521="BOOST",Control!$B$12,1)))</x:f>
        <x:v>2.9915214329536344</x:v>
      </x:c>
      <x:c r="G521" s="83" t="n">
        <x:f>IF(A521=0,D521,MIN(Control!$B$17,D521+F521))</x:f>
        <x:v>292.0990150327246</x:v>
      </x:c>
      <x:c r="H521" s="73" t="n">
        <x:f>MOD(INT(G521)-1,Control!$B$7)+1</x:f>
        <x:v>24</x:v>
      </x:c>
      <x:c r="I521" s="73" t="n">
        <x:f>MIN(Control!$B$6,MAX(1,INT(MAX(0,G521)/Control!$B$7)+1))</x:f>
        <x:v>3</x:v>
      </x:c>
      <x:c r="J521" s="73" t="n">
        <x:f>INDEX(Drivers!$H$8:$H$13,B521)</x:f>
        <x:v>2</x:v>
      </x:c>
      <x:c r="K521" s="73" t="n">
        <x:f>IF(J521=1,INDEX(TrackMap!$I$8:$I$141,H521),INDEX(TrackMap!$L$8:$L$141,H521))</x:f>
        <x:v>2109</x:v>
      </x:c>
      <x:c r="L521" s="73" t="str">
        <x:f>INDEX(TrackMap!$F$8:$F$141,H521)</x:f>
        <x:v>→</x:v>
      </x:c>
      <x:c r="M521" s="87" t="n">
        <x:f>MAX(0,G521/Control!$B$17)</x:f>
        <x:v>0.43596867915332027</x:v>
      </x:c>
      <x:c r="N521" s="73" t="n">
        <x:f>IF(N515&gt;0,N515,IF(G521&gt;=Control!$B$17,A521,0))</x:f>
        <x:v>0</x:v>
      </x:c>
      <x:c r="O521" s="91" t="n">
        <x:f>IF(N521&gt;0,Control!$B$17+Control!$B$8+1-N521,G521)-B521/100000</x:f>
        <x:v>292.0989750327246</x:v>
      </x:c>
      <x:c r="P521" s="73" t="n">
        <x:f>COUNTIF($O$518:$O$523,"&gt;"&amp;O521)+1</x:f>
        <x:v>5</x:v>
      </x:c>
      <x:c r="Q521" s="83" t="n">
        <x:f>MAX($G$518:$G$523)-G521</x:f>
        <x:v>5.6962109163225705</x:v>
      </x:c>
      <x:c r="R521" s="73" t="str">
        <x:f>INDEX(TrackMap!$B$8:$B$141,H521)</x:f>
        <x:v>短直道</x:v>
      </x:c>
    </x:row>
    <x:row r="522" ht="20" customHeight="1">
      <x:c r="A522" s="73" t="n">
        <x:v>85</x:v>
      </x:c>
      <x:c r="B522" s="73" t="n">
        <x:v>5</x:v>
      </x:c>
      <x:c r="C522" s="73" t="str">
        <x:f>INDEX(Drivers!$B$8:$B$13,B522)</x:f>
        <x:v>青锋</x:v>
      </x:c>
      <x:c r="D522" s="83" t="n">
        <x:f>G516</x:f>
        <x:v>283.34012888174703</x:v>
      </x:c>
      <x:c r="E522" s="83" t="str">
        <x:f>IF(A522=0,"GRID",IF(D522&gt;=Control!$B$17,"FINISHED",IF(AND(A522&gt;=INDEX(Drivers!$G$8:$G$13,B522),A522&lt;INDEX(Drivers!$G$8:$G$13,B522)+INDEX(Drivers!$J$8:$J$13,B522)),"PIT",IF(MOD(A522+INDEX(Drivers!$F$8:$F$13,B522),Control!$B$11)&lt;Control!$B$13,"BOOST","RACE"))))</x:f>
        <x:v>RACE</x:v>
      </x:c>
      <x:c r="F522" s="83" t="n">
        <x:f>IF(OR(E522="GRID",E522="FINISHED",E522="PIT"),0,MAX(Control!$B$15,(INDEX(Drivers!$D$8:$D$13,B522)+INDEX(Drivers!$E$8:$E$13,B522)*SIN((A522+INDEX(Drivers!$F$8:$F$13,B522)+Control!$B$16)*Control!$B$14))*INDEX(TrackMap!$M$8:$M$141,MOD(INT(D522)-1,Control!$B$7)+1)*IF(E522="BOOST",Control!$B$12,1)))</x:f>
        <x:v>2.993406259967599</x:v>
      </x:c>
      <x:c r="G522" s="83" t="n">
        <x:f>IF(A522=0,D522,MIN(Control!$B$17,D522+F522))</x:f>
        <x:v>286.3335351417146</x:v>
      </x:c>
      <x:c r="H522" s="73" t="n">
        <x:f>MOD(INT(G522)-1,Control!$B$7)+1</x:f>
        <x:v>18</x:v>
      </x:c>
      <x:c r="I522" s="73" t="n">
        <x:f>MIN(Control!$B$6,MAX(1,INT(MAX(0,G522)/Control!$B$7)+1))</x:f>
        <x:v>3</x:v>
      </x:c>
      <x:c r="J522" s="73" t="n">
        <x:f>INDEX(Drivers!$H$8:$H$13,B522)</x:f>
        <x:v>1</x:v>
      </x:c>
      <x:c r="K522" s="73" t="n">
        <x:f>IF(J522=1,INDEX(TrackMap!$I$8:$I$141,H522),INDEX(TrackMap!$L$8:$L$141,H522))</x:f>
        <x:v>2403</x:v>
      </x:c>
      <x:c r="L522" s="73" t="str">
        <x:f>INDEX(TrackMap!$F$8:$F$141,H522)</x:f>
        <x:v>↑</x:v>
      </x:c>
      <x:c r="M522" s="87" t="n">
        <x:f>MAX(0,G522/Control!$B$17)</x:f>
        <x:v>0.4273634852861412</x:v>
      </x:c>
      <x:c r="N522" s="73" t="n">
        <x:f>IF(N516&gt;0,N516,IF(G522&gt;=Control!$B$17,A522,0))</x:f>
        <x:v>0</x:v>
      </x:c>
      <x:c r="O522" s="91" t="n">
        <x:f>IF(N522&gt;0,Control!$B$17+Control!$B$8+1-N522,G522)-B522/100000</x:f>
        <x:v>286.3334851417146</x:v>
      </x:c>
      <x:c r="P522" s="73" t="n">
        <x:f>COUNTIF($O$518:$O$523,"&gt;"&amp;O522)+1</x:f>
        <x:v>6</x:v>
      </x:c>
      <x:c r="Q522" s="83" t="n">
        <x:f>MAX($G$518:$G$523)-G522</x:f>
        <x:v>11.461690807332559</x:v>
      </x:c>
      <x:c r="R522" s="73" t="str">
        <x:f>INDEX(TrackMap!$B$8:$B$141,H522)</x:f>
        <x:v>西侧回弯</x:v>
      </x:c>
    </x:row>
    <x:row r="523" ht="20" customHeight="1">
      <x:c r="A523" s="73" t="n">
        <x:v>85</x:v>
      </x:c>
      <x:c r="B523" s="73" t="n">
        <x:v>6</x:v>
      </x:c>
      <x:c r="C523" s="73" t="str">
        <x:f>INDEX(Drivers!$B$8:$B$13,B523)</x:f>
        <x:v>玫速</x:v>
      </x:c>
      <x:c r="D523" s="83" t="n">
        <x:f>G517</x:f>
        <x:v>292.0318515889338</x:v>
      </x:c>
      <x:c r="E523" s="83" t="str">
        <x:f>IF(A523=0,"GRID",IF(D523&gt;=Control!$B$17,"FINISHED",IF(AND(A523&gt;=INDEX(Drivers!$G$8:$G$13,B523),A523&lt;INDEX(Drivers!$G$8:$G$13,B523)+INDEX(Drivers!$J$8:$J$13,B523)),"PIT",IF(MOD(A523+INDEX(Drivers!$F$8:$F$13,B523),Control!$B$11)&lt;Control!$B$13,"BOOST","RACE"))))</x:f>
        <x:v>RACE</x:v>
      </x:c>
      <x:c r="F523" s="83" t="n">
        <x:f>IF(OR(E523="GRID",E523="FINISHED",E523="PIT"),0,MAX(Control!$B$15,(INDEX(Drivers!$D$8:$D$13,B523)+INDEX(Drivers!$E$8:$E$13,B523)*SIN((A523+INDEX(Drivers!$F$8:$F$13,B523)+Control!$B$16)*Control!$B$14))*INDEX(TrackMap!$M$8:$M$141,MOD(INT(D523)-1,Control!$B$7)+1)*IF(E523="BOOST",Control!$B$12,1)))</x:f>
        <x:v>2.93603264003107</x:v>
      </x:c>
      <x:c r="G523" s="83" t="n">
        <x:f>IF(A523=0,D523,MIN(Control!$B$17,D523+F523))</x:f>
        <x:v>294.96788422896486</x:v>
      </x:c>
      <x:c r="H523" s="73" t="n">
        <x:f>MOD(INT(G523)-1,Control!$B$7)+1</x:f>
        <x:v>26</x:v>
      </x:c>
      <x:c r="I523" s="73" t="n">
        <x:f>MIN(Control!$B$6,MAX(1,INT(MAX(0,G523)/Control!$B$7)+1))</x:f>
        <x:v>3</x:v>
      </x:c>
      <x:c r="J523" s="73" t="n">
        <x:f>INDEX(Drivers!$H$8:$H$13,B523)</x:f>
        <x:v>2</x:v>
      </x:c>
      <x:c r="K523" s="73" t="n">
        <x:f>IF(J523=1,INDEX(TrackMap!$I$8:$I$141,H523),INDEX(TrackMap!$L$8:$L$141,H523))</x:f>
        <x:v>1911</x:v>
      </x:c>
      <x:c r="L523" s="73" t="str">
        <x:f>INDEX(TrackMap!$F$8:$F$141,H523)</x:f>
        <x:v>↑</x:v>
      </x:c>
      <x:c r="M523" s="87" t="n">
        <x:f>MAX(0,G523/Control!$B$17)</x:f>
        <x:v>0.44025057347606694</x:v>
      </x:c>
      <x:c r="N523" s="73" t="n">
        <x:f>IF(N517&gt;0,N517,IF(G523&gt;=Control!$B$17,A523,0))</x:f>
        <x:v>0</x:v>
      </x:c>
      <x:c r="O523" s="91" t="n">
        <x:f>IF(N523&gt;0,Control!$B$17+Control!$B$8+1-N523,G523)-B523/100000</x:f>
        <x:v>294.96782422896484</x:v>
      </x:c>
      <x:c r="P523" s="73" t="n">
        <x:f>COUNTIF($O$518:$O$523,"&gt;"&amp;O523)+1</x:f>
        <x:v>3</x:v>
      </x:c>
      <x:c r="Q523" s="83" t="n">
        <x:f>MAX($G$518:$G$523)-G523</x:f>
        <x:v>2.827341720082302</x:v>
      </x:c>
      <x:c r="R523" s="73" t="str">
        <x:f>INDEX(TrackMap!$B$8:$B$141,H523)</x:f>
        <x:v>西侧上坡弯</x:v>
      </x:c>
    </x:row>
    <x:row r="524" ht="20" customHeight="1">
      <x:c r="A524" s="73" t="n">
        <x:v>86</x:v>
      </x:c>
      <x:c r="B524" s="73" t="n">
        <x:v>1</x:v>
      </x:c>
      <x:c r="C524" s="73" t="str">
        <x:f>INDEX(Drivers!$B$8:$B$13,B524)</x:f>
        <x:v>赤焰</x:v>
      </x:c>
      <x:c r="D524" s="83" t="n">
        <x:f>G518</x:f>
        <x:v>296.334189359351</x:v>
      </x:c>
      <x:c r="E524" s="83" t="str">
        <x:f>IF(A524=0,"GRID",IF(D524&gt;=Control!$B$17,"FINISHED",IF(AND(A524&gt;=INDEX(Drivers!$G$8:$G$13,B524),A524&lt;INDEX(Drivers!$G$8:$G$13,B524)+INDEX(Drivers!$J$8:$J$13,B524)),"PIT",IF(MOD(A524+INDEX(Drivers!$F$8:$F$13,B524),Control!$B$11)&lt;Control!$B$13,"BOOST","RACE"))))</x:f>
        <x:v>RACE</x:v>
      </x:c>
      <x:c r="F524" s="83" t="n">
        <x:f>IF(OR(E524="GRID",E524="FINISHED",E524="PIT"),0,MAX(Control!$B$15,(INDEX(Drivers!$D$8:$D$13,B524)+INDEX(Drivers!$E$8:$E$13,B524)*SIN((A524+INDEX(Drivers!$F$8:$F$13,B524)+Control!$B$16)*Control!$B$14))*INDEX(TrackMap!$M$8:$M$141,MOD(INT(D524)-1,Control!$B$7)+1)*IF(E524="BOOST",Control!$B$12,1)))</x:f>
        <x:v>3.29605402665365</x:v>
      </x:c>
      <x:c r="G524" s="83" t="n">
        <x:f>IF(A524=0,D524,MIN(Control!$B$17,D524+F524))</x:f>
        <x:v>299.6302433860047</x:v>
      </x:c>
      <x:c r="H524" s="73" t="n">
        <x:f>MOD(INT(G524)-1,Control!$B$7)+1</x:f>
        <x:v>31</x:v>
      </x:c>
      <x:c r="I524" s="73" t="n">
        <x:f>MIN(Control!$B$6,MAX(1,INT(MAX(0,G524)/Control!$B$7)+1))</x:f>
        <x:v>3</x:v>
      </x:c>
      <x:c r="J524" s="73" t="n">
        <x:f>INDEX(Drivers!$H$8:$H$13,B524)</x:f>
        <x:v>1</x:v>
      </x:c>
      <x:c r="K524" s="73" t="n">
        <x:f>IF(J524=1,INDEX(TrackMap!$I$8:$I$141,H524),INDEX(TrackMap!$L$8:$L$141,H524))</x:f>
        <x:v>1410</x:v>
      </x:c>
      <x:c r="L524" s="73" t="str">
        <x:f>INDEX(TrackMap!$F$8:$F$141,H524)</x:f>
        <x:v>↑</x:v>
      </x:c>
      <x:c r="M524" s="87" t="n">
        <x:f>MAX(0,G524/Control!$B$17)</x:f>
        <x:v>0.44720931848657414</x:v>
      </x:c>
      <x:c r="N524" s="73" t="n">
        <x:f>IF(N518&gt;0,N518,IF(G524&gt;=Control!$B$17,A524,0))</x:f>
        <x:v>0</x:v>
      </x:c>
      <x:c r="O524" s="91" t="n">
        <x:f>IF(N524&gt;0,Control!$B$17+Control!$B$8+1-N524,G524)-B524/100000</x:f>
        <x:v>299.6302333860047</x:v>
      </x:c>
      <x:c r="P524" s="73" t="n">
        <x:f>COUNTIF($O$524:$O$529,"&gt;"&amp;O524)+1</x:f>
        <x:v>2</x:v>
      </x:c>
      <x:c r="Q524" s="83" t="n">
        <x:f>MAX($G$524:$G$529)-G524</x:f>
        <x:v>1.3783209907724085</x:v>
      </x:c>
      <x:c r="R524" s="73" t="str">
        <x:f>INDEX(TrackMap!$B$8:$B$141,H524)</x:f>
        <x:v>西侧上坡弯</x:v>
      </x:c>
    </x:row>
    <x:row r="525" ht="20" customHeight="1">
      <x:c r="A525" s="73" t="n">
        <x:v>86</x:v>
      </x:c>
      <x:c r="B525" s="73" t="n">
        <x:v>2</x:v>
      </x:c>
      <x:c r="C525" s="73" t="str">
        <x:f>INDEX(Drivers!$B$8:$B$13,B525)</x:f>
        <x:v>蓝电</x:v>
      </x:c>
      <x:c r="D525" s="83" t="n">
        <x:f>G519</x:f>
        <x:v>292.67343948883433</x:v>
      </x:c>
      <x:c r="E525" s="83" t="str">
        <x:f>IF(A525=0,"GRID",IF(D525&gt;=Control!$B$17,"FINISHED",IF(AND(A525&gt;=INDEX(Drivers!$G$8:$G$13,B525),A525&lt;INDEX(Drivers!$G$8:$G$13,B525)+INDEX(Drivers!$J$8:$J$13,B525)),"PIT",IF(MOD(A525+INDEX(Drivers!$F$8:$F$13,B525),Control!$B$11)&lt;Control!$B$13,"BOOST","RACE"))))</x:f>
        <x:v>BOOST</x:v>
      </x:c>
      <x:c r="F525" s="83" t="n">
        <x:f>IF(OR(E525="GRID",E525="FINISHED",E525="PIT"),0,MAX(Control!$B$15,(INDEX(Drivers!$D$8:$D$13,B525)+INDEX(Drivers!$E$8:$E$13,B525)*SIN((A525+INDEX(Drivers!$F$8:$F$13,B525)+Control!$B$16)*Control!$B$14))*INDEX(TrackMap!$M$8:$M$141,MOD(INT(D525)-1,Control!$B$7)+1)*IF(E525="BOOST",Control!$B$12,1)))</x:f>
        <x:v>4.369448684006737</x:v>
      </x:c>
      <x:c r="G525" s="83" t="n">
        <x:f>IF(A525=0,D525,MIN(Control!$B$17,D525+F525))</x:f>
        <x:v>297.04288817284106</x:v>
      </x:c>
      <x:c r="H525" s="73" t="n">
        <x:f>MOD(INT(G525)-1,Control!$B$7)+1</x:f>
        <x:v>29</x:v>
      </x:c>
      <x:c r="I525" s="73" t="n">
        <x:f>MIN(Control!$B$6,MAX(1,INT(MAX(0,G525)/Control!$B$7)+1))</x:f>
        <x:v>3</x:v>
      </x:c>
      <x:c r="J525" s="73" t="n">
        <x:f>INDEX(Drivers!$H$8:$H$13,B525)</x:f>
        <x:v>2</x:v>
      </x:c>
      <x:c r="K525" s="73" t="n">
        <x:f>IF(J525=1,INDEX(TrackMap!$I$8:$I$141,H525),INDEX(TrackMap!$L$8:$L$141,H525))</x:f>
        <x:v>1611</x:v>
      </x:c>
      <x:c r="L525" s="73" t="str">
        <x:f>INDEX(TrackMap!$F$8:$F$141,H525)</x:f>
        <x:v>↑</x:v>
      </x:c>
      <x:c r="M525" s="87" t="n">
        <x:f>MAX(0,G525/Control!$B$17)</x:f>
        <x:v>0.4433475942878225</x:v>
      </x:c>
      <x:c r="N525" s="73" t="n">
        <x:f>IF(N519&gt;0,N519,IF(G525&gt;=Control!$B$17,A525,0))</x:f>
        <x:v>0</x:v>
      </x:c>
      <x:c r="O525" s="91" t="n">
        <x:f>IF(N525&gt;0,Control!$B$17+Control!$B$8+1-N525,G525)-B525/100000</x:f>
        <x:v>297.04286817284105</x:v>
      </x:c>
      <x:c r="P525" s="73" t="n">
        <x:f>COUNTIF($O$524:$O$529,"&gt;"&amp;O525)+1</x:f>
        <x:v>4</x:v>
      </x:c>
      <x:c r="Q525" s="83" t="n">
        <x:f>MAX($G$524:$G$529)-G525</x:f>
        <x:v>3.9656762039360274</x:v>
      </x:c>
      <x:c r="R525" s="73" t="str">
        <x:f>INDEX(TrackMap!$B$8:$B$141,H525)</x:f>
        <x:v>西侧上坡弯</x:v>
      </x:c>
    </x:row>
    <x:row r="526" ht="20" customHeight="1">
      <x:c r="A526" s="73" t="n">
        <x:v>86</x:v>
      </x:c>
      <x:c r="B526" s="73" t="n">
        <x:v>3</x:v>
      </x:c>
      <x:c r="C526" s="73" t="str">
        <x:f>INDEX(Drivers!$B$8:$B$13,B526)</x:f>
        <x:v>金翼</x:v>
      </x:c>
      <x:c r="D526" s="83" t="n">
        <x:f>G520</x:f>
        <x:v>297.79522594904716</x:v>
      </x:c>
      <x:c r="E526" s="83" t="str">
        <x:f>IF(A526=0,"GRID",IF(D526&gt;=Control!$B$17,"FINISHED",IF(AND(A526&gt;=INDEX(Drivers!$G$8:$G$13,B526),A526&lt;INDEX(Drivers!$G$8:$G$13,B526)+INDEX(Drivers!$J$8:$J$13,B526)),"PIT",IF(MOD(A526+INDEX(Drivers!$F$8:$F$13,B526),Control!$B$11)&lt;Control!$B$13,"BOOST","RACE"))))</x:f>
        <x:v>RACE</x:v>
      </x:c>
      <x:c r="F526" s="83" t="n">
        <x:f>IF(OR(E526="GRID",E526="FINISHED",E526="PIT"),0,MAX(Control!$B$15,(INDEX(Drivers!$D$8:$D$13,B526)+INDEX(Drivers!$E$8:$E$13,B526)*SIN((A526+INDEX(Drivers!$F$8:$F$13,B526)+Control!$B$16)*Control!$B$14))*INDEX(TrackMap!$M$8:$M$141,MOD(INT(D526)-1,Control!$B$7)+1)*IF(E526="BOOST",Control!$B$12,1)))</x:f>
        <x:v>3.2133384277299197</x:v>
      </x:c>
      <x:c r="G526" s="83" t="n">
        <x:f>IF(A526=0,D526,MIN(Control!$B$17,D526+F526))</x:f>
        <x:v>301.0085643767771</x:v>
      </x:c>
      <x:c r="H526" s="73" t="n">
        <x:f>MOD(INT(G526)-1,Control!$B$7)+1</x:f>
        <x:v>33</x:v>
      </x:c>
      <x:c r="I526" s="73" t="n">
        <x:f>MIN(Control!$B$6,MAX(1,INT(MAX(0,G526)/Control!$B$7)+1))</x:f>
        <x:v>3</x:v>
      </x:c>
      <x:c r="J526" s="73" t="n">
        <x:f>INDEX(Drivers!$H$8:$H$13,B526)</x:f>
        <x:v>1</x:v>
      </x:c>
      <x:c r="K526" s="73" t="n">
        <x:f>IF(J526=1,INDEX(TrackMap!$I$8:$I$141,H526),INDEX(TrackMap!$L$8:$L$141,H526))</x:f>
        <x:v>1210</x:v>
      </x:c>
      <x:c r="L526" s="73" t="str">
        <x:f>INDEX(TrackMap!$F$8:$F$141,H526)</x:f>
        <x:v>↑</x:v>
      </x:c>
      <x:c r="M526" s="87" t="n">
        <x:f>MAX(0,G526/Control!$B$17)</x:f>
        <x:v>0.4492665139951897</x:v>
      </x:c>
      <x:c r="N526" s="73" t="n">
        <x:f>IF(N520&gt;0,N520,IF(G526&gt;=Control!$B$17,A526,0))</x:f>
        <x:v>0</x:v>
      </x:c>
      <x:c r="O526" s="91" t="n">
        <x:f>IF(N526&gt;0,Control!$B$17+Control!$B$8+1-N526,G526)-B526/100000</x:f>
        <x:v>301.0085343767771</x:v>
      </x:c>
      <x:c r="P526" s="73" t="n">
        <x:f>COUNTIF($O$524:$O$529,"&gt;"&amp;O526)+1</x:f>
        <x:v>1</x:v>
      </x:c>
      <x:c r="Q526" s="83" t="n">
        <x:f>MAX($G$524:$G$529)-G526</x:f>
        <x:v>0</x:v>
      </x:c>
      <x:c r="R526" s="73" t="str">
        <x:f>INDEX(TrackMap!$B$8:$B$141,H526)</x:f>
        <x:v>西侧上坡弯</x:v>
      </x:c>
    </x:row>
    <x:row r="527" ht="20" customHeight="1">
      <x:c r="A527" s="73" t="n">
        <x:v>86</x:v>
      </x:c>
      <x:c r="B527" s="73" t="n">
        <x:v>4</x:v>
      </x:c>
      <x:c r="C527" s="73" t="str">
        <x:f>INDEX(Drivers!$B$8:$B$13,B527)</x:f>
        <x:v>紫影</x:v>
      </x:c>
      <x:c r="D527" s="83" t="n">
        <x:f>G521</x:f>
        <x:v>292.0990150327246</x:v>
      </x:c>
      <x:c r="E527" s="83" t="str">
        <x:f>IF(A527=0,"GRID",IF(D527&gt;=Control!$B$17,"FINISHED",IF(AND(A527&gt;=INDEX(Drivers!$G$8:$G$13,B527),A527&lt;INDEX(Drivers!$G$8:$G$13,B527)+INDEX(Drivers!$J$8:$J$13,B527)),"PIT",IF(MOD(A527+INDEX(Drivers!$F$8:$F$13,B527),Control!$B$11)&lt;Control!$B$13,"BOOST","RACE"))))</x:f>
        <x:v>RACE</x:v>
      </x:c>
      <x:c r="F527" s="83" t="n">
        <x:f>IF(OR(E527="GRID",E527="FINISHED",E527="PIT"),0,MAX(Control!$B$15,(INDEX(Drivers!$D$8:$D$13,B527)+INDEX(Drivers!$E$8:$E$13,B527)*SIN((A527+INDEX(Drivers!$F$8:$F$13,B527)+Control!$B$16)*Control!$B$14))*INDEX(TrackMap!$M$8:$M$141,MOD(INT(D527)-1,Control!$B$7)+1)*IF(E527="BOOST",Control!$B$12,1)))</x:f>
        <x:v>3.1286315154693516</x:v>
      </x:c>
      <x:c r="G527" s="83" t="n">
        <x:f>IF(A527=0,D527,MIN(Control!$B$17,D527+F527))</x:f>
        <x:v>295.22764654819395</x:v>
      </x:c>
      <x:c r="H527" s="73" t="n">
        <x:f>MOD(INT(G527)-1,Control!$B$7)+1</x:f>
        <x:v>27</x:v>
      </x:c>
      <x:c r="I527" s="73" t="n">
        <x:f>MIN(Control!$B$6,MAX(1,INT(MAX(0,G527)/Control!$B$7)+1))</x:f>
        <x:v>3</x:v>
      </x:c>
      <x:c r="J527" s="73" t="n">
        <x:f>INDEX(Drivers!$H$8:$H$13,B527)</x:f>
        <x:v>2</x:v>
      </x:c>
      <x:c r="K527" s="73" t="n">
        <x:f>IF(J527=1,INDEX(TrackMap!$I$8:$I$141,H527),INDEX(TrackMap!$L$8:$L$141,H527))</x:f>
        <x:v>1811</x:v>
      </x:c>
      <x:c r="L527" s="73" t="str">
        <x:f>INDEX(TrackMap!$F$8:$F$141,H527)</x:f>
        <x:v>↑</x:v>
      </x:c>
      <x:c r="M527" s="87" t="n">
        <x:f>MAX(0,G527/Control!$B$17)</x:f>
        <x:v>0.4406382784301402</x:v>
      </x:c>
      <x:c r="N527" s="73" t="n">
        <x:f>IF(N521&gt;0,N521,IF(G527&gt;=Control!$B$17,A527,0))</x:f>
        <x:v>0</x:v>
      </x:c>
      <x:c r="O527" s="91" t="n">
        <x:f>IF(N527&gt;0,Control!$B$17+Control!$B$8+1-N527,G527)-B527/100000</x:f>
        <x:v>295.22760654819393</x:v>
      </x:c>
      <x:c r="P527" s="73" t="n">
        <x:f>COUNTIF($O$524:$O$529,"&gt;"&amp;O527)+1</x:f>
        <x:v>5</x:v>
      </x:c>
      <x:c r="Q527" s="83" t="n">
        <x:f>MAX($G$524:$G$529)-G527</x:f>
        <x:v>5.780917828583142</x:v>
      </x:c>
      <x:c r="R527" s="73" t="str">
        <x:f>INDEX(TrackMap!$B$8:$B$141,H527)</x:f>
        <x:v>西侧上坡弯</x:v>
      </x:c>
    </x:row>
    <x:row r="528" ht="20" customHeight="1">
      <x:c r="A528" s="73" t="n">
        <x:v>86</x:v>
      </x:c>
      <x:c r="B528" s="73" t="n">
        <x:v>5</x:v>
      </x:c>
      <x:c r="C528" s="73" t="str">
        <x:f>INDEX(Drivers!$B$8:$B$13,B528)</x:f>
        <x:v>青锋</x:v>
      </x:c>
      <x:c r="D528" s="83" t="n">
        <x:f>G522</x:f>
        <x:v>286.3335351417146</x:v>
      </x:c>
      <x:c r="E528" s="83" t="str">
        <x:f>IF(A528=0,"GRID",IF(D528&gt;=Control!$B$17,"FINISHED",IF(AND(A528&gt;=INDEX(Drivers!$G$8:$G$13,B528),A528&lt;INDEX(Drivers!$G$8:$G$13,B528)+INDEX(Drivers!$J$8:$J$13,B528)),"PIT",IF(MOD(A528+INDEX(Drivers!$F$8:$F$13,B528),Control!$B$11)&lt;Control!$B$13,"BOOST","RACE"))))</x:f>
        <x:v>BOOST</x:v>
      </x:c>
      <x:c r="F528" s="83" t="n">
        <x:f>IF(OR(E528="GRID",E528="FINISHED",E528="PIT"),0,MAX(Control!$B$15,(INDEX(Drivers!$D$8:$D$13,B528)+INDEX(Drivers!$E$8:$E$13,B528)*SIN((A528+INDEX(Drivers!$F$8:$F$13,B528)+Control!$B$16)*Control!$B$14))*INDEX(TrackMap!$M$8:$M$141,MOD(INT(D528)-1,Control!$B$7)+1)*IF(E528="BOOST",Control!$B$12,1)))</x:f>
        <x:v>4.207823257755233</x:v>
      </x:c>
      <x:c r="G528" s="83" t="n">
        <x:f>IF(A528=0,D528,MIN(Control!$B$17,D528+F528))</x:f>
        <x:v>290.54135839946986</x:v>
      </x:c>
      <x:c r="H528" s="73" t="n">
        <x:f>MOD(INT(G528)-1,Control!$B$7)+1</x:f>
        <x:v>22</x:v>
      </x:c>
      <x:c r="I528" s="73" t="n">
        <x:f>MIN(Control!$B$6,MAX(1,INT(MAX(0,G528)/Control!$B$7)+1))</x:f>
        <x:v>3</x:v>
      </x:c>
      <x:c r="J528" s="73" t="n">
        <x:f>INDEX(Drivers!$H$8:$H$13,B528)</x:f>
        <x:v>1</x:v>
      </x:c>
      <x:c r="K528" s="73" t="n">
        <x:f>IF(J528=1,INDEX(TrackMap!$I$8:$I$141,H528),INDEX(TrackMap!$L$8:$L$141,H528))</x:f>
        <x:v>2207</x:v>
      </x:c>
      <x:c r="L528" s="73" t="str">
        <x:f>INDEX(TrackMap!$F$8:$F$141,H528)</x:f>
        <x:v>→</x:v>
      </x:c>
      <x:c r="M528" s="87" t="n">
        <x:f>MAX(0,G528/Control!$B$17)</x:f>
        <x:v>0.43364381850667144</x:v>
      </x:c>
      <x:c r="N528" s="73" t="n">
        <x:f>IF(N522&gt;0,N522,IF(G528&gt;=Control!$B$17,A528,0))</x:f>
        <x:v>0</x:v>
      </x:c>
      <x:c r="O528" s="91" t="n">
        <x:f>IF(N528&gt;0,Control!$B$17+Control!$B$8+1-N528,G528)-B528/100000</x:f>
        <x:v>290.54130839946987</x:v>
      </x:c>
      <x:c r="P528" s="73" t="n">
        <x:f>COUNTIF($O$524:$O$529,"&gt;"&amp;O528)+1</x:f>
        <x:v>6</x:v>
      </x:c>
      <x:c r="Q528" s="83" t="n">
        <x:f>MAX($G$524:$G$529)-G528</x:f>
        <x:v>10.46720597730723</x:v>
      </x:c>
      <x:c r="R528" s="73" t="str">
        <x:f>INDEX(TrackMap!$B$8:$B$141,H528)</x:f>
        <x:v>短直道</x:v>
      </x:c>
    </x:row>
    <x:row r="529" ht="20" customHeight="1">
      <x:c r="A529" s="73" t="n">
        <x:v>86</x:v>
      </x:c>
      <x:c r="B529" s="73" t="n">
        <x:v>6</x:v>
      </x:c>
      <x:c r="C529" s="73" t="str">
        <x:f>INDEX(Drivers!$B$8:$B$13,B529)</x:f>
        <x:v>玫速</x:v>
      </x:c>
      <x:c r="D529" s="83" t="n">
        <x:f>G523</x:f>
        <x:v>294.96788422896486</x:v>
      </x:c>
      <x:c r="E529" s="83" t="str">
        <x:f>IF(A529=0,"GRID",IF(D529&gt;=Control!$B$17,"FINISHED",IF(AND(A529&gt;=INDEX(Drivers!$G$8:$G$13,B529),A529&lt;INDEX(Drivers!$G$8:$G$13,B529)+INDEX(Drivers!$J$8:$J$13,B529)),"PIT",IF(MOD(A529+INDEX(Drivers!$F$8:$F$13,B529),Control!$B$11)&lt;Control!$B$13,"BOOST","RACE"))))</x:f>
        <x:v>RACE</x:v>
      </x:c>
      <x:c r="F529" s="83" t="n">
        <x:f>IF(OR(E529="GRID",E529="FINISHED",E529="PIT"),0,MAX(Control!$B$15,(INDEX(Drivers!$D$8:$D$13,B529)+INDEX(Drivers!$E$8:$E$13,B529)*SIN((A529+INDEX(Drivers!$F$8:$F$13,B529)+Control!$B$16)*Control!$B$14))*INDEX(TrackMap!$M$8:$M$141,MOD(INT(D529)-1,Control!$B$7)+1)*IF(E529="BOOST",Control!$B$12,1)))</x:f>
        <x:v>2.7640275675695993</x:v>
      </x:c>
      <x:c r="G529" s="83" t="n">
        <x:f>IF(A529=0,D529,MIN(Control!$B$17,D529+F529))</x:f>
        <x:v>297.73191179653446</x:v>
      </x:c>
      <x:c r="H529" s="73" t="n">
        <x:f>MOD(INT(G529)-1,Control!$B$7)+1</x:f>
        <x:v>29</x:v>
      </x:c>
      <x:c r="I529" s="73" t="n">
        <x:f>MIN(Control!$B$6,MAX(1,INT(MAX(0,G529)/Control!$B$7)+1))</x:f>
        <x:v>3</x:v>
      </x:c>
      <x:c r="J529" s="73" t="n">
        <x:f>INDEX(Drivers!$H$8:$H$13,B529)</x:f>
        <x:v>2</x:v>
      </x:c>
      <x:c r="K529" s="73" t="n">
        <x:f>IF(J529=1,INDEX(TrackMap!$I$8:$I$141,H529),INDEX(TrackMap!$L$8:$L$141,H529))</x:f>
        <x:v>1611</x:v>
      </x:c>
      <x:c r="L529" s="73" t="str">
        <x:f>INDEX(TrackMap!$F$8:$F$141,H529)</x:f>
        <x:v>↑</x:v>
      </x:c>
      <x:c r="M529" s="87" t="n">
        <x:f>MAX(0,G529/Control!$B$17)</x:f>
        <x:v>0.4443759877560216</x:v>
      </x:c>
      <x:c r="N529" s="73" t="n">
        <x:f>IF(N523&gt;0,N523,IF(G529&gt;=Control!$B$17,A529,0))</x:f>
        <x:v>0</x:v>
      </x:c>
      <x:c r="O529" s="91" t="n">
        <x:f>IF(N529&gt;0,Control!$B$17+Control!$B$8+1-N529,G529)-B529/100000</x:f>
        <x:v>297.73185179653444</x:v>
      </x:c>
      <x:c r="P529" s="73" t="n">
        <x:f>COUNTIF($O$524:$O$529,"&gt;"&amp;O529)+1</x:f>
        <x:v>3</x:v>
      </x:c>
      <x:c r="Q529" s="83" t="n">
        <x:f>MAX($G$524:$G$529)-G529</x:f>
        <x:v>3.276652580242626</x:v>
      </x:c>
      <x:c r="R529" s="73" t="str">
        <x:f>INDEX(TrackMap!$B$8:$B$141,H529)</x:f>
        <x:v>西侧上坡弯</x:v>
      </x:c>
    </x:row>
    <x:row r="530" ht="20" customHeight="1">
      <x:c r="A530" s="73" t="n">
        <x:v>87</x:v>
      </x:c>
      <x:c r="B530" s="73" t="n">
        <x:v>1</x:v>
      </x:c>
      <x:c r="C530" s="73" t="str">
        <x:f>INDEX(Drivers!$B$8:$B$13,B530)</x:f>
        <x:v>赤焰</x:v>
      </x:c>
      <x:c r="D530" s="83" t="n">
        <x:f>G524</x:f>
        <x:v>299.6302433860047</x:v>
      </x:c>
      <x:c r="E530" s="83" t="str">
        <x:f>IF(A530=0,"GRID",IF(D530&gt;=Control!$B$17,"FINISHED",IF(AND(A530&gt;=INDEX(Drivers!$G$8:$G$13,B530),A530&lt;INDEX(Drivers!$G$8:$G$13,B530)+INDEX(Drivers!$J$8:$J$13,B530)),"PIT",IF(MOD(A530+INDEX(Drivers!$F$8:$F$13,B530),Control!$B$11)&lt;Control!$B$13,"BOOST","RACE"))))</x:f>
        <x:v>RACE</x:v>
      </x:c>
      <x:c r="F530" s="83" t="n">
        <x:f>IF(OR(E530="GRID",E530="FINISHED",E530="PIT"),0,MAX(Control!$B$15,(INDEX(Drivers!$D$8:$D$13,B530)+INDEX(Drivers!$E$8:$E$13,B530)*SIN((A530+INDEX(Drivers!$F$8:$F$13,B530)+Control!$B$16)*Control!$B$14))*INDEX(TrackMap!$M$8:$M$141,MOD(INT(D530)-1,Control!$B$7)+1)*IF(E530="BOOST",Control!$B$12,1)))</x:f>
        <x:v>3.472238533346499</x:v>
      </x:c>
      <x:c r="G530" s="83" t="n">
        <x:f>IF(A530=0,D530,MIN(Control!$B$17,D530+F530))</x:f>
        <x:v>303.1024819193512</x:v>
      </x:c>
      <x:c r="H530" s="73" t="n">
        <x:f>MOD(INT(G530)-1,Control!$B$7)+1</x:f>
        <x:v>35</x:v>
      </x:c>
      <x:c r="I530" s="73" t="n">
        <x:f>MIN(Control!$B$6,MAX(1,INT(MAX(0,G530)/Control!$B$7)+1))</x:f>
        <x:v>3</x:v>
      </x:c>
      <x:c r="J530" s="73" t="n">
        <x:f>INDEX(Drivers!$H$8:$H$13,B530)</x:f>
        <x:v>1</x:v>
      </x:c>
      <x:c r="K530" s="73" t="n">
        <x:f>IF(J530=1,INDEX(TrackMap!$I$8:$I$141,H530),INDEX(TrackMap!$L$8:$L$141,H530))</x:f>
        <x:v>1010</x:v>
      </x:c>
      <x:c r="L530" s="73" t="str">
        <x:f>INDEX(TrackMap!$F$8:$F$141,H530)</x:f>
        <x:v>↑</x:v>
      </x:c>
      <x:c r="M530" s="87" t="n">
        <x:f>MAX(0,G530/Control!$B$17)</x:f>
        <x:v>0.4523917640587331</x:v>
      </x:c>
      <x:c r="N530" s="73" t="n">
        <x:f>IF(N524&gt;0,N524,IF(G530&gt;=Control!$B$17,A530,0))</x:f>
        <x:v>0</x:v>
      </x:c>
      <x:c r="O530" s="91" t="n">
        <x:f>IF(N530&gt;0,Control!$B$17+Control!$B$8+1-N530,G530)-B530/100000</x:f>
        <x:v>303.1024719193512</x:v>
      </x:c>
      <x:c r="P530" s="73" t="n">
        <x:f>COUNTIF($O$530:$O$535,"&gt;"&amp;O530)+1</x:f>
        <x:v>2</x:v>
      </x:c>
      <x:c r="Q530" s="83" t="n">
        <x:f>MAX($G$530:$G$535)-G530</x:f>
        <x:v>1.1108703021768065</x:v>
      </x:c>
      <x:c r="R530" s="73" t="str">
        <x:f>INDEX(TrackMap!$B$8:$B$141,H530)</x:f>
        <x:v>西侧上坡弯</x:v>
      </x:c>
    </x:row>
    <x:row r="531" ht="20" customHeight="1">
      <x:c r="A531" s="73" t="n">
        <x:v>87</x:v>
      </x:c>
      <x:c r="B531" s="73" t="n">
        <x:v>2</x:v>
      </x:c>
      <x:c r="C531" s="73" t="str">
        <x:f>INDEX(Drivers!$B$8:$B$13,B531)</x:f>
        <x:v>蓝电</x:v>
      </x:c>
      <x:c r="D531" s="83" t="n">
        <x:f>G525</x:f>
        <x:v>297.04288817284106</x:v>
      </x:c>
      <x:c r="E531" s="83" t="str">
        <x:f>IF(A531=0,"GRID",IF(D531&gt;=Control!$B$17,"FINISHED",IF(AND(A531&gt;=INDEX(Drivers!$G$8:$G$13,B531),A531&lt;INDEX(Drivers!$G$8:$G$13,B531)+INDEX(Drivers!$J$8:$J$13,B531)),"PIT",IF(MOD(A531+INDEX(Drivers!$F$8:$F$13,B531),Control!$B$11)&lt;Control!$B$13,"BOOST","RACE"))))</x:f>
        <x:v>BOOST</x:v>
      </x:c>
      <x:c r="F531" s="83" t="n">
        <x:f>IF(OR(E531="GRID",E531="FINISHED",E531="PIT"),0,MAX(Control!$B$15,(INDEX(Drivers!$D$8:$D$13,B531)+INDEX(Drivers!$E$8:$E$13,B531)*SIN((A531+INDEX(Drivers!$F$8:$F$13,B531)+Control!$B$16)*Control!$B$14))*INDEX(TrackMap!$M$8:$M$141,MOD(INT(D531)-1,Control!$B$7)+1)*IF(E531="BOOST",Control!$B$12,1)))</x:f>
        <x:v>5.457661922348276</x:v>
      </x:c>
      <x:c r="G531" s="83" t="n">
        <x:f>IF(A531=0,D531,MIN(Control!$B$17,D531+F531))</x:f>
        <x:v>302.50055009518934</x:v>
      </x:c>
      <x:c r="H531" s="73" t="n">
        <x:f>MOD(INT(G531)-1,Control!$B$7)+1</x:f>
        <x:v>34</x:v>
      </x:c>
      <x:c r="I531" s="73" t="n">
        <x:f>MIN(Control!$B$6,MAX(1,INT(MAX(0,G531)/Control!$B$7)+1))</x:f>
        <x:v>3</x:v>
      </x:c>
      <x:c r="J531" s="73" t="n">
        <x:f>INDEX(Drivers!$H$8:$H$13,B531)</x:f>
        <x:v>2</x:v>
      </x:c>
      <x:c r="K531" s="73" t="n">
        <x:f>IF(J531=1,INDEX(TrackMap!$I$8:$I$141,H531),INDEX(TrackMap!$L$8:$L$141,H531))</x:f>
        <x:v>1111</x:v>
      </x:c>
      <x:c r="L531" s="73" t="str">
        <x:f>INDEX(TrackMap!$F$8:$F$141,H531)</x:f>
        <x:v>↑</x:v>
      </x:c>
      <x:c r="M531" s="87" t="n">
        <x:f>MAX(0,G531/Control!$B$17)</x:f>
        <x:v>0.4514933583510289</x:v>
      </x:c>
      <x:c r="N531" s="73" t="n">
        <x:f>IF(N525&gt;0,N525,IF(G531&gt;=Control!$B$17,A531,0))</x:f>
        <x:v>0</x:v>
      </x:c>
      <x:c r="O531" s="91" t="n">
        <x:f>IF(N531&gt;0,Control!$B$17+Control!$B$8+1-N531,G531)-B531/100000</x:f>
        <x:v>302.50053009518933</x:v>
      </x:c>
      <x:c r="P531" s="73" t="n">
        <x:f>COUNTIF($O$530:$O$535,"&gt;"&amp;O531)+1</x:f>
        <x:v>3</x:v>
      </x:c>
      <x:c r="Q531" s="83" t="n">
        <x:f>MAX($G$530:$G$535)-G531</x:f>
        <x:v>1.7128021263386586</x:v>
      </x:c>
      <x:c r="R531" s="73" t="str">
        <x:f>INDEX(TrackMap!$B$8:$B$141,H531)</x:f>
        <x:v>西侧上坡弯</x:v>
      </x:c>
    </x:row>
    <x:row r="532" ht="20" customHeight="1">
      <x:c r="A532" s="73" t="n">
        <x:v>87</x:v>
      </x:c>
      <x:c r="B532" s="73" t="n">
        <x:v>3</x:v>
      </x:c>
      <x:c r="C532" s="73" t="str">
        <x:f>INDEX(Drivers!$B$8:$B$13,B532)</x:f>
        <x:v>金翼</x:v>
      </x:c>
      <x:c r="D532" s="83" t="n">
        <x:f>G526</x:f>
        <x:v>301.0085643767771</x:v>
      </x:c>
      <x:c r="E532" s="83" t="str">
        <x:f>IF(A532=0,"GRID",IF(D532&gt;=Control!$B$17,"FINISHED",IF(AND(A532&gt;=INDEX(Drivers!$G$8:$G$13,B532),A532&lt;INDEX(Drivers!$G$8:$G$13,B532)+INDEX(Drivers!$J$8:$J$13,B532)),"PIT",IF(MOD(A532+INDEX(Drivers!$F$8:$F$13,B532),Control!$B$11)&lt;Control!$B$13,"BOOST","RACE"))))</x:f>
        <x:v>RACE</x:v>
      </x:c>
      <x:c r="F532" s="83" t="n">
        <x:f>IF(OR(E532="GRID",E532="FINISHED",E532="PIT"),0,MAX(Control!$B$15,(INDEX(Drivers!$D$8:$D$13,B532)+INDEX(Drivers!$E$8:$E$13,B532)*SIN((A532+INDEX(Drivers!$F$8:$F$13,B532)+Control!$B$16)*Control!$B$14))*INDEX(TrackMap!$M$8:$M$141,MOD(INT(D532)-1,Control!$B$7)+1)*IF(E532="BOOST",Control!$B$12,1)))</x:f>
        <x:v>3.204787844750884</x:v>
      </x:c>
      <x:c r="G532" s="83" t="n">
        <x:f>IF(A532=0,D532,MIN(Control!$B$17,D532+F532))</x:f>
        <x:v>304.213352221528</x:v>
      </x:c>
      <x:c r="H532" s="73" t="n">
        <x:f>MOD(INT(G532)-1,Control!$B$7)+1</x:f>
        <x:v>36</x:v>
      </x:c>
      <x:c r="I532" s="73" t="n">
        <x:f>MIN(Control!$B$6,MAX(1,INT(MAX(0,G532)/Control!$B$7)+1))</x:f>
        <x:v>3</x:v>
      </x:c>
      <x:c r="J532" s="73" t="n">
        <x:f>INDEX(Drivers!$H$8:$H$13,B532)</x:f>
        <x:v>1</x:v>
      </x:c>
      <x:c r="K532" s="73" t="n">
        <x:f>IF(J532=1,INDEX(TrackMap!$I$8:$I$141,H532),INDEX(TrackMap!$L$8:$L$141,H532))</x:f>
        <x:v>812</x:v>
      </x:c>
      <x:c r="L532" s="73" t="str">
        <x:f>INDEX(TrackMap!$F$8:$F$141,H532)</x:f>
        <x:v>→</x:v>
      </x:c>
      <x:c r="M532" s="87" t="n">
        <x:f>MAX(0,G532/Control!$B$17)</x:f>
        <x:v>0.45404977943511643</x:v>
      </x:c>
      <x:c r="N532" s="73" t="n">
        <x:f>IF(N526&gt;0,N526,IF(G532&gt;=Control!$B$17,A532,0))</x:f>
        <x:v>0</x:v>
      </x:c>
      <x:c r="O532" s="91" t="n">
        <x:f>IF(N532&gt;0,Control!$B$17+Control!$B$8+1-N532,G532)-B532/100000</x:f>
        <x:v>304.213322221528</x:v>
      </x:c>
      <x:c r="P532" s="73" t="n">
        <x:f>COUNTIF($O$530:$O$535,"&gt;"&amp;O532)+1</x:f>
        <x:v>1</x:v>
      </x:c>
      <x:c r="Q532" s="83" t="n">
        <x:f>MAX($G$530:$G$535)-G532</x:f>
        <x:v>0</x:v>
      </x:c>
      <x:c r="R532" s="73" t="str">
        <x:f>INDEX(TrackMap!$B$8:$B$141,H532)</x:f>
        <x:v>西侧发卡弯</x:v>
      </x:c>
    </x:row>
    <x:row r="533" ht="20" customHeight="1">
      <x:c r="A533" s="73" t="n">
        <x:v>87</x:v>
      </x:c>
      <x:c r="B533" s="73" t="n">
        <x:v>4</x:v>
      </x:c>
      <x:c r="C533" s="73" t="str">
        <x:f>INDEX(Drivers!$B$8:$B$13,B533)</x:f>
        <x:v>紫影</x:v>
      </x:c>
      <x:c r="D533" s="83" t="n">
        <x:f>G527</x:f>
        <x:v>295.22764654819395</x:v>
      </x:c>
      <x:c r="E533" s="83" t="str">
        <x:f>IF(A533=0,"GRID",IF(D533&gt;=Control!$B$17,"FINISHED",IF(AND(A533&gt;=INDEX(Drivers!$G$8:$G$13,B533),A533&lt;INDEX(Drivers!$G$8:$G$13,B533)+INDEX(Drivers!$J$8:$J$13,B533)),"PIT",IF(MOD(A533+INDEX(Drivers!$F$8:$F$13,B533),Control!$B$11)&lt;Control!$B$13,"BOOST","RACE"))))</x:f>
        <x:v>RACE</x:v>
      </x:c>
      <x:c r="F533" s="83" t="n">
        <x:f>IF(OR(E533="GRID",E533="FINISHED",E533="PIT"),0,MAX(Control!$B$15,(INDEX(Drivers!$D$8:$D$13,B533)+INDEX(Drivers!$E$8:$E$13,B533)*SIN((A533+INDEX(Drivers!$F$8:$F$13,B533)+Control!$B$16)*Control!$B$14))*INDEX(TrackMap!$M$8:$M$141,MOD(INT(D533)-1,Control!$B$7)+1)*IF(E533="BOOST",Control!$B$12,1)))</x:f>
        <x:v>3.222345626516729</x:v>
      </x:c>
      <x:c r="G533" s="83" t="n">
        <x:f>IF(A533=0,D533,MIN(Control!$B$17,D533+F533))</x:f>
        <x:v>298.4499921747107</x:v>
      </x:c>
      <x:c r="H533" s="73" t="n">
        <x:f>MOD(INT(G533)-1,Control!$B$7)+1</x:f>
        <x:v>30</x:v>
      </x:c>
      <x:c r="I533" s="73" t="n">
        <x:f>MIN(Control!$B$6,MAX(1,INT(MAX(0,G533)/Control!$B$7)+1))</x:f>
        <x:v>3</x:v>
      </x:c>
      <x:c r="J533" s="73" t="n">
        <x:f>INDEX(Drivers!$H$8:$H$13,B533)</x:f>
        <x:v>2</x:v>
      </x:c>
      <x:c r="K533" s="73" t="n">
        <x:f>IF(J533=1,INDEX(TrackMap!$I$8:$I$141,H533),INDEX(TrackMap!$L$8:$L$141,H533))</x:f>
        <x:v>1511</x:v>
      </x:c>
      <x:c r="L533" s="73" t="str">
        <x:f>INDEX(TrackMap!$F$8:$F$141,H533)</x:f>
        <x:v>↑</x:v>
      </x:c>
      <x:c r="M533" s="87" t="n">
        <x:f>MAX(0,G533/Control!$B$17)</x:f>
        <x:v>0.44544774951449356</x:v>
      </x:c>
      <x:c r="N533" s="73" t="n">
        <x:f>IF(N527&gt;0,N527,IF(G533&gt;=Control!$B$17,A533,0))</x:f>
        <x:v>0</x:v>
      </x:c>
      <x:c r="O533" s="91" t="n">
        <x:f>IF(N533&gt;0,Control!$B$17+Control!$B$8+1-N533,G533)-B533/100000</x:f>
        <x:v>298.4499521747107</x:v>
      </x:c>
      <x:c r="P533" s="73" t="n">
        <x:f>COUNTIF($O$530:$O$535,"&gt;"&amp;O533)+1</x:f>
        <x:v>5</x:v>
      </x:c>
      <x:c r="Q533" s="83" t="n">
        <x:f>MAX($G$530:$G$535)-G533</x:f>
        <x:v>5.763360046817297</x:v>
      </x:c>
      <x:c r="R533" s="73" t="str">
        <x:f>INDEX(TrackMap!$B$8:$B$141,H533)</x:f>
        <x:v>西侧上坡弯</x:v>
      </x:c>
    </x:row>
    <x:row r="534" ht="20" customHeight="1">
      <x:c r="A534" s="73" t="n">
        <x:v>87</x:v>
      </x:c>
      <x:c r="B534" s="73" t="n">
        <x:v>5</x:v>
      </x:c>
      <x:c r="C534" s="73" t="str">
        <x:f>INDEX(Drivers!$B$8:$B$13,B534)</x:f>
        <x:v>青锋</x:v>
      </x:c>
      <x:c r="D534" s="83" t="n">
        <x:f>G528</x:f>
        <x:v>290.54135839946986</x:v>
      </x:c>
      <x:c r="E534" s="83" t="str">
        <x:f>IF(A534=0,"GRID",IF(D534&gt;=Control!$B$17,"FINISHED",IF(AND(A534&gt;=INDEX(Drivers!$G$8:$G$13,B534),A534&lt;INDEX(Drivers!$G$8:$G$13,B534)+INDEX(Drivers!$J$8:$J$13,B534)),"PIT",IF(MOD(A534+INDEX(Drivers!$F$8:$F$13,B534),Control!$B$11)&lt;Control!$B$13,"BOOST","RACE"))))</x:f>
        <x:v>BOOST</x:v>
      </x:c>
      <x:c r="F534" s="83" t="n">
        <x:f>IF(OR(E534="GRID",E534="FINISHED",E534="PIT"),0,MAX(Control!$B$15,(INDEX(Drivers!$D$8:$D$13,B534)+INDEX(Drivers!$E$8:$E$13,B534)*SIN((A534+INDEX(Drivers!$F$8:$F$13,B534)+Control!$B$16)*Control!$B$14))*INDEX(TrackMap!$M$8:$M$141,MOD(INT(D534)-1,Control!$B$7)+1)*IF(E534="BOOST",Control!$B$12,1)))</x:f>
        <x:v>5.541514719572039</x:v>
      </x:c>
      <x:c r="G534" s="83" t="n">
        <x:f>IF(A534=0,D534,MIN(Control!$B$17,D534+F534))</x:f>
        <x:v>296.0828731190419</x:v>
      </x:c>
      <x:c r="H534" s="73" t="n">
        <x:f>MOD(INT(G534)-1,Control!$B$7)+1</x:f>
        <x:v>28</x:v>
      </x:c>
      <x:c r="I534" s="73" t="n">
        <x:f>MIN(Control!$B$6,MAX(1,INT(MAX(0,G534)/Control!$B$7)+1))</x:f>
        <x:v>3</x:v>
      </x:c>
      <x:c r="J534" s="73" t="n">
        <x:f>INDEX(Drivers!$H$8:$H$13,B534)</x:f>
        <x:v>1</x:v>
      </x:c>
      <x:c r="K534" s="73" t="n">
        <x:f>IF(J534=1,INDEX(TrackMap!$I$8:$I$141,H534),INDEX(TrackMap!$L$8:$L$141,H534))</x:f>
        <x:v>1710</x:v>
      </x:c>
      <x:c r="L534" s="73" t="str">
        <x:f>INDEX(TrackMap!$F$8:$F$141,H534)</x:f>
        <x:v>↑</x:v>
      </x:c>
      <x:c r="M534" s="87" t="n">
        <x:f>MAX(0,G534/Control!$B$17)</x:f>
        <x:v>0.44191473599857</x:v>
      </x:c>
      <x:c r="N534" s="73" t="n">
        <x:f>IF(N528&gt;0,N528,IF(G534&gt;=Control!$B$17,A534,0))</x:f>
        <x:v>0</x:v>
      </x:c>
      <x:c r="O534" s="91" t="n">
        <x:f>IF(N534&gt;0,Control!$B$17+Control!$B$8+1-N534,G534)-B534/100000</x:f>
        <x:v>296.0828231190419</x:v>
      </x:c>
      <x:c r="P534" s="73" t="n">
        <x:f>COUNTIF($O$530:$O$535,"&gt;"&amp;O534)+1</x:f>
        <x:v>6</x:v>
      </x:c>
      <x:c r="Q534" s="83" t="n">
        <x:f>MAX($G$530:$G$535)-G534</x:f>
        <x:v>8.130479102486106</x:v>
      </x:c>
      <x:c r="R534" s="73" t="str">
        <x:f>INDEX(TrackMap!$B$8:$B$141,H534)</x:f>
        <x:v>西侧上坡弯</x:v>
      </x:c>
    </x:row>
    <x:row r="535" ht="20" customHeight="1">
      <x:c r="A535" s="73" t="n">
        <x:v>87</x:v>
      </x:c>
      <x:c r="B535" s="73" t="n">
        <x:v>6</x:v>
      </x:c>
      <x:c r="C535" s="73" t="str">
        <x:f>INDEX(Drivers!$B$8:$B$13,B535)</x:f>
        <x:v>玫速</x:v>
      </x:c>
      <x:c r="D535" s="83" t="n">
        <x:f>G529</x:f>
        <x:v>297.73191179653446</x:v>
      </x:c>
      <x:c r="E535" s="83" t="str">
        <x:f>IF(A535=0,"GRID",IF(D535&gt;=Control!$B$17,"FINISHED",IF(AND(A535&gt;=INDEX(Drivers!$G$8:$G$13,B535),A535&lt;INDEX(Drivers!$G$8:$G$13,B535)+INDEX(Drivers!$J$8:$J$13,B535)),"PIT",IF(MOD(A535+INDEX(Drivers!$F$8:$F$13,B535),Control!$B$11)&lt;Control!$B$13,"BOOST","RACE"))))</x:f>
        <x:v>RACE</x:v>
      </x:c>
      <x:c r="F535" s="83" t="n">
        <x:f>IF(OR(E535="GRID",E535="FINISHED",E535="PIT"),0,MAX(Control!$B$15,(INDEX(Drivers!$D$8:$D$13,B535)+INDEX(Drivers!$E$8:$E$13,B535)*SIN((A535+INDEX(Drivers!$F$8:$F$13,B535)+Control!$B$16)*Control!$B$14))*INDEX(TrackMap!$M$8:$M$141,MOD(INT(D535)-1,Control!$B$7)+1)*IF(E535="BOOST",Control!$B$12,1)))</x:f>
        <x:v>3.3415634677204418</x:v>
      </x:c>
      <x:c r="G535" s="83" t="n">
        <x:f>IF(A535=0,D535,MIN(Control!$B$17,D535+F535))</x:f>
        <x:v>301.0734752642549</x:v>
      </x:c>
      <x:c r="H535" s="73" t="n">
        <x:f>MOD(INT(G535)-1,Control!$B$7)+1</x:f>
        <x:v>33</x:v>
      </x:c>
      <x:c r="I535" s="73" t="n">
        <x:f>MIN(Control!$B$6,MAX(1,INT(MAX(0,G535)/Control!$B$7)+1))</x:f>
        <x:v>3</x:v>
      </x:c>
      <x:c r="J535" s="73" t="n">
        <x:f>INDEX(Drivers!$H$8:$H$13,B535)</x:f>
        <x:v>2</x:v>
      </x:c>
      <x:c r="K535" s="73" t="n">
        <x:f>IF(J535=1,INDEX(TrackMap!$I$8:$I$141,H535),INDEX(TrackMap!$L$8:$L$141,H535))</x:f>
        <x:v>1211</x:v>
      </x:c>
      <x:c r="L535" s="73" t="str">
        <x:f>INDEX(TrackMap!$F$8:$F$141,H535)</x:f>
        <x:v>↑</x:v>
      </x:c>
      <x:c r="M535" s="87" t="n">
        <x:f>MAX(0,G535/Control!$B$17)</x:f>
        <x:v>0.44936339591679836</x:v>
      </x:c>
      <x:c r="N535" s="73" t="n">
        <x:f>IF(N529&gt;0,N529,IF(G535&gt;=Control!$B$17,A535,0))</x:f>
        <x:v>0</x:v>
      </x:c>
      <x:c r="O535" s="91" t="n">
        <x:f>IF(N535&gt;0,Control!$B$17+Control!$B$8+1-N535,G535)-B535/100000</x:f>
        <x:v>301.0734152642549</x:v>
      </x:c>
      <x:c r="P535" s="73" t="n">
        <x:f>COUNTIF($O$530:$O$535,"&gt;"&amp;O535)+1</x:f>
        <x:v>4</x:v>
      </x:c>
      <x:c r="Q535" s="83" t="n">
        <x:f>MAX($G$530:$G$535)-G535</x:f>
        <x:v>3.1398769572730885</x:v>
      </x:c>
      <x:c r="R535" s="73" t="str">
        <x:f>INDEX(TrackMap!$B$8:$B$141,H535)</x:f>
        <x:v>西侧上坡弯</x:v>
      </x:c>
    </x:row>
    <x:row r="536" ht="20" customHeight="1">
      <x:c r="A536" s="73" t="n">
        <x:v>88</x:v>
      </x:c>
      <x:c r="B536" s="73" t="n">
        <x:v>1</x:v>
      </x:c>
      <x:c r="C536" s="73" t="str">
        <x:f>INDEX(Drivers!$B$8:$B$13,B536)</x:f>
        <x:v>赤焰</x:v>
      </x:c>
      <x:c r="D536" s="83" t="n">
        <x:f>G530</x:f>
        <x:v>303.1024819193512</x:v>
      </x:c>
      <x:c r="E536" s="83" t="str">
        <x:f>IF(A536=0,"GRID",IF(D536&gt;=Control!$B$17,"FINISHED",IF(AND(A536&gt;=INDEX(Drivers!$G$8:$G$13,B536),A536&lt;INDEX(Drivers!$G$8:$G$13,B536)+INDEX(Drivers!$J$8:$J$13,B536)),"PIT",IF(MOD(A536+INDEX(Drivers!$F$8:$F$13,B536),Control!$B$11)&lt;Control!$B$13,"BOOST","RACE"))))</x:f>
        <x:v>RACE</x:v>
      </x:c>
      <x:c r="F536" s="83" t="n">
        <x:f>IF(OR(E536="GRID",E536="FINISHED",E536="PIT"),0,MAX(Control!$B$15,(INDEX(Drivers!$D$8:$D$13,B536)+INDEX(Drivers!$E$8:$E$13,B536)*SIN((A536+INDEX(Drivers!$F$8:$F$13,B536)+Control!$B$16)*Control!$B$14))*INDEX(TrackMap!$M$8:$M$141,MOD(INT(D536)-1,Control!$B$7)+1)*IF(E536="BOOST",Control!$B$12,1)))</x:f>
        <x:v>2.8645361320946487</x:v>
      </x:c>
      <x:c r="G536" s="83" t="n">
        <x:f>IF(A536=0,D536,MIN(Control!$B$17,D536+F536))</x:f>
        <x:v>305.96701805144585</x:v>
      </x:c>
      <x:c r="H536" s="73" t="n">
        <x:f>MOD(INT(G536)-1,Control!$B$7)+1</x:f>
        <x:v>37</x:v>
      </x:c>
      <x:c r="I536" s="73" t="n">
        <x:f>MIN(Control!$B$6,MAX(1,INT(MAX(0,G536)/Control!$B$7)+1))</x:f>
        <x:v>3</x:v>
      </x:c>
      <x:c r="J536" s="73" t="n">
        <x:f>INDEX(Drivers!$H$8:$H$13,B536)</x:f>
        <x:v>1</x:v>
      </x:c>
      <x:c r="K536" s="73" t="n">
        <x:f>IF(J536=1,INDEX(TrackMap!$I$8:$I$141,H536),INDEX(TrackMap!$L$8:$L$141,H536))</x:f>
        <x:v>813</x:v>
      </x:c>
      <x:c r="L536" s="73" t="str">
        <x:f>INDEX(TrackMap!$F$8:$F$141,H536)</x:f>
        <x:v>→</x:v>
      </x:c>
      <x:c r="M536" s="87" t="n">
        <x:f>MAX(0,G536/Control!$B$17)</x:f>
        <x:v>0.45666719112156096</x:v>
      </x:c>
      <x:c r="N536" s="73" t="n">
        <x:f>IF(N530&gt;0,N530,IF(G536&gt;=Control!$B$17,A536,0))</x:f>
        <x:v>0</x:v>
      </x:c>
      <x:c r="O536" s="91" t="n">
        <x:f>IF(N536&gt;0,Control!$B$17+Control!$B$8+1-N536,G536)-B536/100000</x:f>
        <x:v>305.9670080514459</x:v>
      </x:c>
      <x:c r="P536" s="73" t="n">
        <x:f>COUNTIF($O$536:$O$541,"&gt;"&amp;O536)+1</x:f>
        <x:v>2</x:v>
      </x:c>
      <x:c r="Q536" s="83" t="n">
        <x:f>MAX($G$536:$G$541)-G536</x:f>
        <x:v>0.791678455077033</x:v>
      </x:c>
      <x:c r="R536" s="73" t="str">
        <x:f>INDEX(TrackMap!$B$8:$B$141,H536)</x:f>
        <x:v>西侧发卡弯</x:v>
      </x:c>
    </x:row>
    <x:row r="537" ht="20" customHeight="1">
      <x:c r="A537" s="73" t="n">
        <x:v>88</x:v>
      </x:c>
      <x:c r="B537" s="73" t="n">
        <x:v>2</x:v>
      </x:c>
      <x:c r="C537" s="73" t="str">
        <x:f>INDEX(Drivers!$B$8:$B$13,B537)</x:f>
        <x:v>蓝电</x:v>
      </x:c>
      <x:c r="D537" s="83" t="n">
        <x:f>G531</x:f>
        <x:v>302.50055009518934</x:v>
      </x:c>
      <x:c r="E537" s="83" t="str">
        <x:f>IF(A537=0,"GRID",IF(D537&gt;=Control!$B$17,"FINISHED",IF(AND(A537&gt;=INDEX(Drivers!$G$8:$G$13,B537),A537&lt;INDEX(Drivers!$G$8:$G$13,B537)+INDEX(Drivers!$J$8:$J$13,B537)),"PIT",IF(MOD(A537+INDEX(Drivers!$F$8:$F$13,B537),Control!$B$11)&lt;Control!$B$13,"BOOST","RACE"))))</x:f>
        <x:v>RACE</x:v>
      </x:c>
      <x:c r="F537" s="83" t="n">
        <x:f>IF(OR(E537="GRID",E537="FINISHED",E537="PIT"),0,MAX(Control!$B$15,(INDEX(Drivers!$D$8:$D$13,B537)+INDEX(Drivers!$E$8:$E$13,B537)*SIN((A537+INDEX(Drivers!$F$8:$F$13,B537)+Control!$B$16)*Control!$B$14))*INDEX(TrackMap!$M$8:$M$141,MOD(INT(D537)-1,Control!$B$7)+1)*IF(E537="BOOST",Control!$B$12,1)))</x:f>
        <x:v>3.0211546425609708</x:v>
      </x:c>
      <x:c r="G537" s="83" t="n">
        <x:f>IF(A537=0,D537,MIN(Control!$B$17,D537+F537))</x:f>
        <x:v>305.5217047377503</x:v>
      </x:c>
      <x:c r="H537" s="73" t="n">
        <x:f>MOD(INT(G537)-1,Control!$B$7)+1</x:f>
        <x:v>37</x:v>
      </x:c>
      <x:c r="I537" s="73" t="n">
        <x:f>MIN(Control!$B$6,MAX(1,INT(MAX(0,G537)/Control!$B$7)+1))</x:f>
        <x:v>3</x:v>
      </x:c>
      <x:c r="J537" s="73" t="n">
        <x:f>INDEX(Drivers!$H$8:$H$13,B537)</x:f>
        <x:v>2</x:v>
      </x:c>
      <x:c r="K537" s="73" t="n">
        <x:f>IF(J537=1,INDEX(TrackMap!$I$8:$I$141,H537),INDEX(TrackMap!$L$8:$L$141,H537))</x:f>
        <x:v>913</x:v>
      </x:c>
      <x:c r="L537" s="73" t="str">
        <x:f>INDEX(TrackMap!$F$8:$F$141,H537)</x:f>
        <x:v>→</x:v>
      </x:c>
      <x:c r="M537" s="87" t="n">
        <x:f>MAX(0,G537/Control!$B$17)</x:f>
        <x:v>0.456002544384702</x:v>
      </x:c>
      <x:c r="N537" s="73" t="n">
        <x:f>IF(N531&gt;0,N531,IF(G537&gt;=Control!$B$17,A537,0))</x:f>
        <x:v>0</x:v>
      </x:c>
      <x:c r="O537" s="91" t="n">
        <x:f>IF(N537&gt;0,Control!$B$17+Control!$B$8+1-N537,G537)-B537/100000</x:f>
        <x:v>305.5216847377503</x:v>
      </x:c>
      <x:c r="P537" s="73" t="n">
        <x:f>COUNTIF($O$536:$O$541,"&gt;"&amp;O537)+1</x:f>
        <x:v>3</x:v>
      </x:c>
      <x:c r="Q537" s="83" t="n">
        <x:f>MAX($G$536:$G$541)-G537</x:f>
        <x:v>1.2369917687725547</x:v>
      </x:c>
      <x:c r="R537" s="73" t="str">
        <x:f>INDEX(TrackMap!$B$8:$B$141,H537)</x:f>
        <x:v>西侧发卡弯</x:v>
      </x:c>
    </x:row>
    <x:row r="538" ht="20" customHeight="1">
      <x:c r="A538" s="73" t="n">
        <x:v>88</x:v>
      </x:c>
      <x:c r="B538" s="73" t="n">
        <x:v>3</x:v>
      </x:c>
      <x:c r="C538" s="73" t="str">
        <x:f>INDEX(Drivers!$B$8:$B$13,B538)</x:f>
        <x:v>金翼</x:v>
      </x:c>
      <x:c r="D538" s="83" t="n">
        <x:f>G532</x:f>
        <x:v>304.213352221528</x:v>
      </x:c>
      <x:c r="E538" s="83" t="str">
        <x:f>IF(A538=0,"GRID",IF(D538&gt;=Control!$B$17,"FINISHED",IF(AND(A538&gt;=INDEX(Drivers!$G$8:$G$13,B538),A538&lt;INDEX(Drivers!$G$8:$G$13,B538)+INDEX(Drivers!$J$8:$J$13,B538)),"PIT",IF(MOD(A538+INDEX(Drivers!$F$8:$F$13,B538),Control!$B$11)&lt;Control!$B$13,"BOOST","RACE"))))</x:f>
        <x:v>RACE</x:v>
      </x:c>
      <x:c r="F538" s="83" t="n">
        <x:f>IF(OR(E538="GRID",E538="FINISHED",E538="PIT"),0,MAX(Control!$B$15,(INDEX(Drivers!$D$8:$D$13,B538)+INDEX(Drivers!$E$8:$E$13,B538)*SIN((A538+INDEX(Drivers!$F$8:$F$13,B538)+Control!$B$16)*Control!$B$14))*INDEX(TrackMap!$M$8:$M$141,MOD(INT(D538)-1,Control!$B$7)+1)*IF(E538="BOOST",Control!$B$12,1)))</x:f>
        <x:v>2.5453442849948704</x:v>
      </x:c>
      <x:c r="G538" s="83" t="n">
        <x:f>IF(A538=0,D538,MIN(Control!$B$17,D538+F538))</x:f>
        <x:v>306.7586965065229</x:v>
      </x:c>
      <x:c r="H538" s="73" t="n">
        <x:f>MOD(INT(G538)-1,Control!$B$7)+1</x:f>
        <x:v>38</x:v>
      </x:c>
      <x:c r="I538" s="73" t="n">
        <x:f>MIN(Control!$B$6,MAX(1,INT(MAX(0,G538)/Control!$B$7)+1))</x:f>
        <x:v>3</x:v>
      </x:c>
      <x:c r="J538" s="73" t="n">
        <x:f>INDEX(Drivers!$H$8:$H$13,B538)</x:f>
        <x:v>1</x:v>
      </x:c>
      <x:c r="K538" s="73" t="n">
        <x:f>IF(J538=1,INDEX(TrackMap!$I$8:$I$141,H538),INDEX(TrackMap!$L$8:$L$141,H538))</x:f>
        <x:v>814</x:v>
      </x:c>
      <x:c r="L538" s="73" t="str">
        <x:f>INDEX(TrackMap!$F$8:$F$141,H538)</x:f>
        <x:v>→</x:v>
      </x:c>
      <x:c r="M538" s="87" t="n">
        <x:f>MAX(0,G538/Control!$B$17)</x:f>
        <x:v>0.4578488007560043</x:v>
      </x:c>
      <x:c r="N538" s="73" t="n">
        <x:f>IF(N532&gt;0,N532,IF(G538&gt;=Control!$B$17,A538,0))</x:f>
        <x:v>0</x:v>
      </x:c>
      <x:c r="O538" s="91" t="n">
        <x:f>IF(N538&gt;0,Control!$B$17+Control!$B$8+1-N538,G538)-B538/100000</x:f>
        <x:v>306.7586665065229</x:v>
      </x:c>
      <x:c r="P538" s="73" t="n">
        <x:f>COUNTIF($O$536:$O$541,"&gt;"&amp;O538)+1</x:f>
        <x:v>1</x:v>
      </x:c>
      <x:c r="Q538" s="83" t="n">
        <x:f>MAX($G$536:$G$541)-G538</x:f>
        <x:v>0</x:v>
      </x:c>
      <x:c r="R538" s="73" t="str">
        <x:f>INDEX(TrackMap!$B$8:$B$141,H538)</x:f>
        <x:v>西侧发卡弯</x:v>
      </x:c>
    </x:row>
    <x:row r="539" ht="20" customHeight="1">
      <x:c r="A539" s="73" t="n">
        <x:v>88</x:v>
      </x:c>
      <x:c r="B539" s="73" t="n">
        <x:v>4</x:v>
      </x:c>
      <x:c r="C539" s="73" t="str">
        <x:f>INDEX(Drivers!$B$8:$B$13,B539)</x:f>
        <x:v>紫影</x:v>
      </x:c>
      <x:c r="D539" s="83" t="n">
        <x:f>G533</x:f>
        <x:v>298.4499921747107</x:v>
      </x:c>
      <x:c r="E539" s="83" t="str">
        <x:f>IF(A539=0,"GRID",IF(D539&gt;=Control!$B$17,"FINISHED",IF(AND(A539&gt;=INDEX(Drivers!$G$8:$G$13,B539),A539&lt;INDEX(Drivers!$G$8:$G$13,B539)+INDEX(Drivers!$J$8:$J$13,B539)),"PIT",IF(MOD(A539+INDEX(Drivers!$F$8:$F$13,B539),Control!$B$11)&lt;Control!$B$13,"BOOST","RACE"))))</x:f>
        <x:v>RACE</x:v>
      </x:c>
      <x:c r="F539" s="83" t="n">
        <x:f>IF(OR(E539="GRID",E539="FINISHED",E539="PIT"),0,MAX(Control!$B$15,(INDEX(Drivers!$D$8:$D$13,B539)+INDEX(Drivers!$E$8:$E$13,B539)*SIN((A539+INDEX(Drivers!$F$8:$F$13,B539)+Control!$B$16)*Control!$B$14))*INDEX(TrackMap!$M$8:$M$141,MOD(INT(D539)-1,Control!$B$7)+1)*IF(E539="BOOST",Control!$B$12,1)))</x:f>
        <x:v>4.179461539484961</x:v>
      </x:c>
      <x:c r="G539" s="83" t="n">
        <x:f>IF(A539=0,D539,MIN(Control!$B$17,D539+F539))</x:f>
        <x:v>302.6294537141957</x:v>
      </x:c>
      <x:c r="H539" s="73" t="n">
        <x:f>MOD(INT(G539)-1,Control!$B$7)+1</x:f>
        <x:v>34</x:v>
      </x:c>
      <x:c r="I539" s="73" t="n">
        <x:f>MIN(Control!$B$6,MAX(1,INT(MAX(0,G539)/Control!$B$7)+1))</x:f>
        <x:v>3</x:v>
      </x:c>
      <x:c r="J539" s="73" t="n">
        <x:f>INDEX(Drivers!$H$8:$H$13,B539)</x:f>
        <x:v>2</x:v>
      </x:c>
      <x:c r="K539" s="73" t="n">
        <x:f>IF(J539=1,INDEX(TrackMap!$I$8:$I$141,H539),INDEX(TrackMap!$L$8:$L$141,H539))</x:f>
        <x:v>1111</x:v>
      </x:c>
      <x:c r="L539" s="73" t="str">
        <x:f>INDEX(TrackMap!$F$8:$F$141,H539)</x:f>
        <x:v>↑</x:v>
      </x:c>
      <x:c r="M539" s="87" t="n">
        <x:f>MAX(0,G539/Control!$B$17)</x:f>
        <x:v>0.45168575181223236</x:v>
      </x:c>
      <x:c r="N539" s="73" t="n">
        <x:f>IF(N533&gt;0,N533,IF(G539&gt;=Control!$B$17,A539,0))</x:f>
        <x:v>0</x:v>
      </x:c>
      <x:c r="O539" s="91" t="n">
        <x:f>IF(N539&gt;0,Control!$B$17+Control!$B$8+1-N539,G539)-B539/100000</x:f>
        <x:v>302.62941371419566</x:v>
      </x:c>
      <x:c r="P539" s="73" t="n">
        <x:f>COUNTIF($O$536:$O$541,"&gt;"&amp;O539)+1</x:f>
        <x:v>5</x:v>
      </x:c>
      <x:c r="Q539" s="83" t="n">
        <x:f>MAX($G$536:$G$541)-G539</x:f>
        <x:v>4.129242792327204</x:v>
      </x:c>
      <x:c r="R539" s="73" t="str">
        <x:f>INDEX(TrackMap!$B$8:$B$141,H539)</x:f>
        <x:v>西侧上坡弯</x:v>
      </x:c>
    </x:row>
    <x:row r="540" ht="20" customHeight="1">
      <x:c r="A540" s="73" t="n">
        <x:v>88</x:v>
      </x:c>
      <x:c r="B540" s="73" t="n">
        <x:v>5</x:v>
      </x:c>
      <x:c r="C540" s="73" t="str">
        <x:f>INDEX(Drivers!$B$8:$B$13,B540)</x:f>
        <x:v>青锋</x:v>
      </x:c>
      <x:c r="D540" s="83" t="n">
        <x:f>G534</x:f>
        <x:v>296.0828731190419</x:v>
      </x:c>
      <x:c r="E540" s="83" t="str">
        <x:f>IF(A540=0,"GRID",IF(D540&gt;=Control!$B$17,"FINISHED",IF(AND(A540&gt;=INDEX(Drivers!$G$8:$G$13,B540),A540&lt;INDEX(Drivers!$G$8:$G$13,B540)+INDEX(Drivers!$J$8:$J$13,B540)),"PIT",IF(MOD(A540+INDEX(Drivers!$F$8:$F$13,B540),Control!$B$11)&lt;Control!$B$13,"BOOST","RACE"))))</x:f>
        <x:v>BOOST</x:v>
      </x:c>
      <x:c r="F540" s="83" t="n">
        <x:f>IF(OR(E540="GRID",E540="FINISHED",E540="PIT"),0,MAX(Control!$B$15,(INDEX(Drivers!$D$8:$D$13,B540)+INDEX(Drivers!$E$8:$E$13,B540)*SIN((A540+INDEX(Drivers!$F$8:$F$13,B540)+Control!$B$16)*Control!$B$14))*INDEX(TrackMap!$M$8:$M$141,MOD(INT(D540)-1,Control!$B$7)+1)*IF(E540="BOOST",Control!$B$12,1)))</x:f>
        <x:v>5.601625901735688</x:v>
      </x:c>
      <x:c r="G540" s="83" t="n">
        <x:f>IF(A540=0,D540,MIN(Control!$B$17,D540+F540))</x:f>
        <x:v>301.6844990207776</x:v>
      </x:c>
      <x:c r="H540" s="73" t="n">
        <x:f>MOD(INT(G540)-1,Control!$B$7)+1</x:f>
        <x:v>33</x:v>
      </x:c>
      <x:c r="I540" s="73" t="n">
        <x:f>MIN(Control!$B$6,MAX(1,INT(MAX(0,G540)/Control!$B$7)+1))</x:f>
        <x:v>3</x:v>
      </x:c>
      <x:c r="J540" s="73" t="n">
        <x:f>INDEX(Drivers!$H$8:$H$13,B540)</x:f>
        <x:v>1</x:v>
      </x:c>
      <x:c r="K540" s="73" t="n">
        <x:f>IF(J540=1,INDEX(TrackMap!$I$8:$I$141,H540),INDEX(TrackMap!$L$8:$L$141,H540))</x:f>
        <x:v>1210</x:v>
      </x:c>
      <x:c r="L540" s="73" t="str">
        <x:f>INDEX(TrackMap!$F$8:$F$141,H540)</x:f>
        <x:v>↑</x:v>
      </x:c>
      <x:c r="M540" s="87" t="n">
        <x:f>MAX(0,G540/Control!$B$17)</x:f>
        <x:v>0.4502753716728024</x:v>
      </x:c>
      <x:c r="N540" s="73" t="n">
        <x:f>IF(N534&gt;0,N534,IF(G540&gt;=Control!$B$17,A540,0))</x:f>
        <x:v>0</x:v>
      </x:c>
      <x:c r="O540" s="91" t="n">
        <x:f>IF(N540&gt;0,Control!$B$17+Control!$B$8+1-N540,G540)-B540/100000</x:f>
        <x:v>301.6844490207776</x:v>
      </x:c>
      <x:c r="P540" s="73" t="n">
        <x:f>COUNTIF($O$536:$O$541,"&gt;"&amp;O540)+1</x:f>
        <x:v>6</x:v>
      </x:c>
      <x:c r="Q540" s="83" t="n">
        <x:f>MAX($G$536:$G$541)-G540</x:f>
        <x:v>5.074197485745287</x:v>
      </x:c>
      <x:c r="R540" s="73" t="str">
        <x:f>INDEX(TrackMap!$B$8:$B$141,H540)</x:f>
        <x:v>西侧上坡弯</x:v>
      </x:c>
    </x:row>
    <x:row r="541" ht="20" customHeight="1">
      <x:c r="A541" s="73" t="n">
        <x:v>88</x:v>
      </x:c>
      <x:c r="B541" s="73" t="n">
        <x:v>6</x:v>
      </x:c>
      <x:c r="C541" s="73" t="str">
        <x:f>INDEX(Drivers!$B$8:$B$13,B541)</x:f>
        <x:v>玫速</x:v>
      </x:c>
      <x:c r="D541" s="83" t="n">
        <x:f>G535</x:f>
        <x:v>301.0734752642549</x:v>
      </x:c>
      <x:c r="E541" s="83" t="str">
        <x:f>IF(A541=0,"GRID",IF(D541&gt;=Control!$B$17,"FINISHED",IF(AND(A541&gt;=INDEX(Drivers!$G$8:$G$13,B541),A541&lt;INDEX(Drivers!$G$8:$G$13,B541)+INDEX(Drivers!$J$8:$J$13,B541)),"PIT",IF(MOD(A541+INDEX(Drivers!$F$8:$F$13,B541),Control!$B$11)&lt;Control!$B$13,"BOOST","RACE"))))</x:f>
        <x:v>RACE</x:v>
      </x:c>
      <x:c r="F541" s="83" t="n">
        <x:f>IF(OR(E541="GRID",E541="FINISHED",E541="PIT"),0,MAX(Control!$B$15,(INDEX(Drivers!$D$8:$D$13,B541)+INDEX(Drivers!$E$8:$E$13,B541)*SIN((A541+INDEX(Drivers!$F$8:$F$13,B541)+Control!$B$16)*Control!$B$14))*INDEX(TrackMap!$M$8:$M$141,MOD(INT(D541)-1,Control!$B$7)+1)*IF(E541="BOOST",Control!$B$12,1)))</x:f>
        <x:v>3.185307645779683</x:v>
      </x:c>
      <x:c r="G541" s="83" t="n">
        <x:f>IF(A541=0,D541,MIN(Control!$B$17,D541+F541))</x:f>
        <x:v>304.2587829100346</x:v>
      </x:c>
      <x:c r="H541" s="73" t="n">
        <x:f>MOD(INT(G541)-1,Control!$B$7)+1</x:f>
        <x:v>36</x:v>
      </x:c>
      <x:c r="I541" s="73" t="n">
        <x:f>MIN(Control!$B$6,MAX(1,INT(MAX(0,G541)/Control!$B$7)+1))</x:f>
        <x:v>3</x:v>
      </x:c>
      <x:c r="J541" s="73" t="n">
        <x:f>INDEX(Drivers!$H$8:$H$13,B541)</x:f>
        <x:v>2</x:v>
      </x:c>
      <x:c r="K541" s="73" t="n">
        <x:f>IF(J541=1,INDEX(TrackMap!$I$8:$I$141,H541),INDEX(TrackMap!$L$8:$L$141,H541))</x:f>
        <x:v>912</x:v>
      </x:c>
      <x:c r="L541" s="73" t="str">
        <x:f>INDEX(TrackMap!$F$8:$F$141,H541)</x:f>
        <x:v>→</x:v>
      </x:c>
      <x:c r="M541" s="87" t="n">
        <x:f>MAX(0,G541/Control!$B$17)</x:f>
        <x:v>0.45411758643288747</x:v>
      </x:c>
      <x:c r="N541" s="73" t="n">
        <x:f>IF(N535&gt;0,N535,IF(G541&gt;=Control!$B$17,A541,0))</x:f>
        <x:v>0</x:v>
      </x:c>
      <x:c r="O541" s="91" t="n">
        <x:f>IF(N541&gt;0,Control!$B$17+Control!$B$8+1-N541,G541)-B541/100000</x:f>
        <x:v>304.2587229100346</x:v>
      </x:c>
      <x:c r="P541" s="73" t="n">
        <x:f>COUNTIF($O$536:$O$541,"&gt;"&amp;O541)+1</x:f>
        <x:v>4</x:v>
      </x:c>
      <x:c r="Q541" s="83" t="n">
        <x:f>MAX($G$536:$G$541)-G541</x:f>
        <x:v>2.499913596488284</x:v>
      </x:c>
      <x:c r="R541" s="73" t="str">
        <x:f>INDEX(TrackMap!$B$8:$B$141,H541)</x:f>
        <x:v>西侧发卡弯</x:v>
      </x:c>
    </x:row>
    <x:row r="542" ht="20" customHeight="1">
      <x:c r="A542" s="73" t="n">
        <x:v>89</x:v>
      </x:c>
      <x:c r="B542" s="73" t="n">
        <x:v>1</x:v>
      </x:c>
      <x:c r="C542" s="73" t="str">
        <x:f>INDEX(Drivers!$B$8:$B$13,B542)</x:f>
        <x:v>赤焰</x:v>
      </x:c>
      <x:c r="D542" s="83" t="n">
        <x:f>G536</x:f>
        <x:v>305.96701805144585</x:v>
      </x:c>
      <x:c r="E542" s="83" t="str">
        <x:f>IF(A542=0,"GRID",IF(D542&gt;=Control!$B$17,"FINISHED",IF(AND(A542&gt;=INDEX(Drivers!$G$8:$G$13,B542),A542&lt;INDEX(Drivers!$G$8:$G$13,B542)+INDEX(Drivers!$J$8:$J$13,B542)),"PIT",IF(MOD(A542+INDEX(Drivers!$F$8:$F$13,B542),Control!$B$11)&lt;Control!$B$13,"BOOST","RACE"))))</x:f>
        <x:v>RACE</x:v>
      </x:c>
      <x:c r="F542" s="83" t="n">
        <x:f>IF(OR(E542="GRID",E542="FINISHED",E542="PIT"),0,MAX(Control!$B$15,(INDEX(Drivers!$D$8:$D$13,B542)+INDEX(Drivers!$E$8:$E$13,B542)*SIN((A542+INDEX(Drivers!$F$8:$F$13,B542)+Control!$B$16)*Control!$B$14))*INDEX(TrackMap!$M$8:$M$141,MOD(INT(D542)-1,Control!$B$7)+1)*IF(E542="BOOST",Control!$B$12,1)))</x:f>
        <x:v>3.0183527749657295</x:v>
      </x:c>
      <x:c r="G542" s="83" t="n">
        <x:f>IF(A542=0,D542,MIN(Control!$B$17,D542+F542))</x:f>
        <x:v>308.98537082641155</x:v>
      </x:c>
      <x:c r="H542" s="73" t="n">
        <x:f>MOD(INT(G542)-1,Control!$B$7)+1</x:f>
        <x:v>40</x:v>
      </x:c>
      <x:c r="I542" s="73" t="n">
        <x:f>MIN(Control!$B$6,MAX(1,INT(MAX(0,G542)/Control!$B$7)+1))</x:f>
        <x:v>3</x:v>
      </x:c>
      <x:c r="J542" s="73" t="n">
        <x:f>INDEX(Drivers!$H$8:$H$13,B542)</x:f>
        <x:v>1</x:v>
      </x:c>
      <x:c r="K542" s="73" t="n">
        <x:f>IF(J542=1,INDEX(TrackMap!$I$8:$I$141,H542),INDEX(TrackMap!$L$8:$L$141,H542))</x:f>
        <x:v>816</x:v>
      </x:c>
      <x:c r="L542" s="73" t="str">
        <x:f>INDEX(TrackMap!$F$8:$F$141,H542)</x:f>
        <x:v>→</x:v>
      </x:c>
      <x:c r="M542" s="87" t="n">
        <x:f>MAX(0,G542/Control!$B$17)</x:f>
        <x:v>0.46117219526330083</x:v>
      </x:c>
      <x:c r="N542" s="73" t="n">
        <x:f>IF(N536&gt;0,N536,IF(G542&gt;=Control!$B$17,A542,0))</x:f>
        <x:v>0</x:v>
      </x:c>
      <x:c r="O542" s="91" t="n">
        <x:f>IF(N542&gt;0,Control!$B$17+Control!$B$8+1-N542,G542)-B542/100000</x:f>
        <x:v>308.9853608264116</x:v>
      </x:c>
      <x:c r="P542" s="73" t="n">
        <x:f>COUNTIF($O$542:$O$547,"&gt;"&amp;O542)+1</x:f>
        <x:v>2</x:v>
      </x:c>
      <x:c r="Q542" s="83" t="n">
        <x:f>MAX($G$542:$G$547)-G542</x:f>
        <x:v>0.41038588413312027</x:v>
      </x:c>
      <x:c r="R542" s="73" t="str">
        <x:f>INDEX(TrackMap!$B$8:$B$141,H542)</x:f>
        <x:v>西侧发卡弯</x:v>
      </x:c>
    </x:row>
    <x:row r="543" ht="20" customHeight="1">
      <x:c r="A543" s="73" t="n">
        <x:v>89</x:v>
      </x:c>
      <x:c r="B543" s="73" t="n">
        <x:v>2</x:v>
      </x:c>
      <x:c r="C543" s="73" t="str">
        <x:f>INDEX(Drivers!$B$8:$B$13,B543)</x:f>
        <x:v>蓝电</x:v>
      </x:c>
      <x:c r="D543" s="83" t="n">
        <x:f>G537</x:f>
        <x:v>305.5217047377503</x:v>
      </x:c>
      <x:c r="E543" s="83" t="str">
        <x:f>IF(A543=0,"GRID",IF(D543&gt;=Control!$B$17,"FINISHED",IF(AND(A543&gt;=INDEX(Drivers!$G$8:$G$13,B543),A543&lt;INDEX(Drivers!$G$8:$G$13,B543)+INDEX(Drivers!$J$8:$J$13,B543)),"PIT",IF(MOD(A543+INDEX(Drivers!$F$8:$F$13,B543),Control!$B$11)&lt;Control!$B$13,"BOOST","RACE"))))</x:f>
        <x:v>RACE</x:v>
      </x:c>
      <x:c r="F543" s="83" t="n">
        <x:f>IF(OR(E543="GRID",E543="FINISHED",E543="PIT"),0,MAX(Control!$B$15,(INDEX(Drivers!$D$8:$D$13,B543)+INDEX(Drivers!$E$8:$E$13,B543)*SIN((A543+INDEX(Drivers!$F$8:$F$13,B543)+Control!$B$16)*Control!$B$14))*INDEX(TrackMap!$M$8:$M$141,MOD(INT(D543)-1,Control!$B$7)+1)*IF(E543="BOOST",Control!$B$12,1)))</x:f>
        <x:v>2.8580326400310696</x:v>
      </x:c>
      <x:c r="G543" s="83" t="n">
        <x:f>IF(A543=0,D543,MIN(Control!$B$17,D543+F543))</x:f>
        <x:v>308.3797373777814</x:v>
      </x:c>
      <x:c r="H543" s="73" t="n">
        <x:f>MOD(INT(G543)-1,Control!$B$7)+1</x:f>
        <x:v>40</x:v>
      </x:c>
      <x:c r="I543" s="73" t="n">
        <x:f>MIN(Control!$B$6,MAX(1,INT(MAX(0,G543)/Control!$B$7)+1))</x:f>
        <x:v>3</x:v>
      </x:c>
      <x:c r="J543" s="73" t="n">
        <x:f>INDEX(Drivers!$H$8:$H$13,B543)</x:f>
        <x:v>2</x:v>
      </x:c>
      <x:c r="K543" s="73" t="n">
        <x:f>IF(J543=1,INDEX(TrackMap!$I$8:$I$141,H543),INDEX(TrackMap!$L$8:$L$141,H543))</x:f>
        <x:v>916</x:v>
      </x:c>
      <x:c r="L543" s="73" t="str">
        <x:f>INDEX(TrackMap!$F$8:$F$141,H543)</x:f>
        <x:v>→</x:v>
      </x:c>
      <x:c r="M543" s="87" t="n">
        <x:f>MAX(0,G543/Control!$B$17)</x:f>
        <x:v>0.4602682647429573</x:v>
      </x:c>
      <x:c r="N543" s="73" t="n">
        <x:f>IF(N537&gt;0,N537,IF(G543&gt;=Control!$B$17,A543,0))</x:f>
        <x:v>0</x:v>
      </x:c>
      <x:c r="O543" s="91" t="n">
        <x:f>IF(N543&gt;0,Control!$B$17+Control!$B$8+1-N543,G543)-B543/100000</x:f>
        <x:v>308.3797173777814</x:v>
      </x:c>
      <x:c r="P543" s="73" t="n">
        <x:f>COUNTIF($O$542:$O$547,"&gt;"&amp;O543)+1</x:f>
        <x:v>3</x:v>
      </x:c>
      <x:c r="Q543" s="83" t="n">
        <x:f>MAX($G$542:$G$547)-G543</x:f>
        <x:v>1.0160193327632783</x:v>
      </x:c>
      <x:c r="R543" s="73" t="str">
        <x:f>INDEX(TrackMap!$B$8:$B$141,H543)</x:f>
        <x:v>西侧发卡弯</x:v>
      </x:c>
    </x:row>
    <x:row r="544" ht="20" customHeight="1">
      <x:c r="A544" s="73" t="n">
        <x:v>89</x:v>
      </x:c>
      <x:c r="B544" s="73" t="n">
        <x:v>3</x:v>
      </x:c>
      <x:c r="C544" s="73" t="str">
        <x:f>INDEX(Drivers!$B$8:$B$13,B544)</x:f>
        <x:v>金翼</x:v>
      </x:c>
      <x:c r="D544" s="83" t="n">
        <x:f>G538</x:f>
        <x:v>306.7586965065229</x:v>
      </x:c>
      <x:c r="E544" s="83" t="str">
        <x:f>IF(A544=0,"GRID",IF(D544&gt;=Control!$B$17,"FINISHED",IF(AND(A544&gt;=INDEX(Drivers!$G$8:$G$13,B544),A544&lt;INDEX(Drivers!$G$8:$G$13,B544)+INDEX(Drivers!$J$8:$J$13,B544)),"PIT",IF(MOD(A544+INDEX(Drivers!$F$8:$F$13,B544),Control!$B$11)&lt;Control!$B$13,"BOOST","RACE"))))</x:f>
        <x:v>RACE</x:v>
      </x:c>
      <x:c r="F544" s="83" t="n">
        <x:f>IF(OR(E544="GRID",E544="FINISHED",E544="PIT"),0,MAX(Control!$B$15,(INDEX(Drivers!$D$8:$D$13,B544)+INDEX(Drivers!$E$8:$E$13,B544)*SIN((A544+INDEX(Drivers!$F$8:$F$13,B544)+Control!$B$16)*Control!$B$14))*INDEX(TrackMap!$M$8:$M$141,MOD(INT(D544)-1,Control!$B$7)+1)*IF(E544="BOOST",Control!$B$12,1)))</x:f>
        <x:v>2.637060204021793</x:v>
      </x:c>
      <x:c r="G544" s="83" t="n">
        <x:f>IF(A544=0,D544,MIN(Control!$B$17,D544+F544))</x:f>
        <x:v>309.3957567105447</x:v>
      </x:c>
      <x:c r="H544" s="73" t="n">
        <x:f>MOD(INT(G544)-1,Control!$B$7)+1</x:f>
        <x:v>41</x:v>
      </x:c>
      <x:c r="I544" s="73" t="n">
        <x:f>MIN(Control!$B$6,MAX(1,INT(MAX(0,G544)/Control!$B$7)+1))</x:f>
        <x:v>3</x:v>
      </x:c>
      <x:c r="J544" s="73" t="n">
        <x:f>INDEX(Drivers!$H$8:$H$13,B544)</x:f>
        <x:v>1</x:v>
      </x:c>
      <x:c r="K544" s="73" t="n">
        <x:f>IF(J544=1,INDEX(TrackMap!$I$8:$I$141,H544),INDEX(TrackMap!$L$8:$L$141,H544))</x:f>
        <x:v>817</x:v>
      </x:c>
      <x:c r="L544" s="73" t="str">
        <x:f>INDEX(TrackMap!$F$8:$F$141,H544)</x:f>
        <x:v>→</x:v>
      </x:c>
      <x:c r="M544" s="87" t="n">
        <x:f>MAX(0,G544/Control!$B$17)</x:f>
        <x:v>0.46178471150827566</x:v>
      </x:c>
      <x:c r="N544" s="73" t="n">
        <x:f>IF(N538&gt;0,N538,IF(G544&gt;=Control!$B$17,A544,0))</x:f>
        <x:v>0</x:v>
      </x:c>
      <x:c r="O544" s="91" t="n">
        <x:f>IF(N544&gt;0,Control!$B$17+Control!$B$8+1-N544,G544)-B544/100000</x:f>
        <x:v>309.3957267105447</x:v>
      </x:c>
      <x:c r="P544" s="73" t="n">
        <x:f>COUNTIF($O$542:$O$547,"&gt;"&amp;O544)+1</x:f>
        <x:v>1</x:v>
      </x:c>
      <x:c r="Q544" s="83" t="n">
        <x:f>MAX($G$542:$G$547)-G544</x:f>
        <x:v>0</x:v>
      </x:c>
      <x:c r="R544" s="73" t="str">
        <x:f>INDEX(TrackMap!$B$8:$B$141,H544)</x:f>
        <x:v>西侧发卡弯</x:v>
      </x:c>
    </x:row>
    <x:row r="545" ht="20" customHeight="1">
      <x:c r="A545" s="73" t="n">
        <x:v>89</x:v>
      </x:c>
      <x:c r="B545" s="73" t="n">
        <x:v>4</x:v>
      </x:c>
      <x:c r="C545" s="73" t="str">
        <x:f>INDEX(Drivers!$B$8:$B$13,B545)</x:f>
        <x:v>紫影</x:v>
      </x:c>
      <x:c r="D545" s="83" t="n">
        <x:f>G539</x:f>
        <x:v>302.6294537141957</x:v>
      </x:c>
      <x:c r="E545" s="83" t="str">
        <x:f>IF(A545=0,"GRID",IF(D545&gt;=Control!$B$17,"FINISHED",IF(AND(A545&gt;=INDEX(Drivers!$G$8:$G$13,B545),A545&lt;INDEX(Drivers!$G$8:$G$13,B545)+INDEX(Drivers!$J$8:$J$13,B545)),"PIT",IF(MOD(A545+INDEX(Drivers!$F$8:$F$13,B545),Control!$B$11)&lt;Control!$B$13,"BOOST","RACE"))))</x:f>
        <x:v>RACE</x:v>
      </x:c>
      <x:c r="F545" s="83" t="n">
        <x:f>IF(OR(E545="GRID",E545="FINISHED",E545="PIT"),0,MAX(Control!$B$15,(INDEX(Drivers!$D$8:$D$13,B545)+INDEX(Drivers!$E$8:$E$13,B545)*SIN((A545+INDEX(Drivers!$F$8:$F$13,B545)+Control!$B$16)*Control!$B$14))*INDEX(TrackMap!$M$8:$M$141,MOD(INT(D545)-1,Control!$B$7)+1)*IF(E545="BOOST",Control!$B$12,1)))</x:f>
        <x:v>3.236441002305799</x:v>
      </x:c>
      <x:c r="G545" s="83" t="n">
        <x:f>IF(A545=0,D545,MIN(Control!$B$17,D545+F545))</x:f>
        <x:v>305.8658947165015</x:v>
      </x:c>
      <x:c r="H545" s="73" t="n">
        <x:f>MOD(INT(G545)-1,Control!$B$7)+1</x:f>
        <x:v>37</x:v>
      </x:c>
      <x:c r="I545" s="73" t="n">
        <x:f>MIN(Control!$B$6,MAX(1,INT(MAX(0,G545)/Control!$B$7)+1))</x:f>
        <x:v>3</x:v>
      </x:c>
      <x:c r="J545" s="73" t="n">
        <x:f>INDEX(Drivers!$H$8:$H$13,B545)</x:f>
        <x:v>2</x:v>
      </x:c>
      <x:c r="K545" s="73" t="n">
        <x:f>IF(J545=1,INDEX(TrackMap!$I$8:$I$141,H545),INDEX(TrackMap!$L$8:$L$141,H545))</x:f>
        <x:v>913</x:v>
      </x:c>
      <x:c r="L545" s="73" t="str">
        <x:f>INDEX(TrackMap!$F$8:$F$141,H545)</x:f>
        <x:v>→</x:v>
      </x:c>
      <x:c r="M545" s="87" t="n">
        <x:f>MAX(0,G545/Control!$B$17)</x:f>
        <x:v>0.45651626077089774</x:v>
      </x:c>
      <x:c r="N545" s="73" t="n">
        <x:f>IF(N539&gt;0,N539,IF(G545&gt;=Control!$B$17,A545,0))</x:f>
        <x:v>0</x:v>
      </x:c>
      <x:c r="O545" s="91" t="n">
        <x:f>IF(N545&gt;0,Control!$B$17+Control!$B$8+1-N545,G545)-B545/100000</x:f>
        <x:v>305.8658547165015</x:v>
      </x:c>
      <x:c r="P545" s="73" t="n">
        <x:f>COUNTIF($O$542:$O$547,"&gt;"&amp;O545)+1</x:f>
        <x:v>6</x:v>
      </x:c>
      <x:c r="Q545" s="83" t="n">
        <x:f>MAX($G$542:$G$547)-G545</x:f>
        <x:v>3.5298619940431877</x:v>
      </x:c>
      <x:c r="R545" s="73" t="str">
        <x:f>INDEX(TrackMap!$B$8:$B$141,H545)</x:f>
        <x:v>西侧发卡弯</x:v>
      </x:c>
    </x:row>
    <x:row r="546" ht="20" customHeight="1">
      <x:c r="A546" s="73" t="n">
        <x:v>89</x:v>
      </x:c>
      <x:c r="B546" s="73" t="n">
        <x:v>5</x:v>
      </x:c>
      <x:c r="C546" s="73" t="str">
        <x:f>INDEX(Drivers!$B$8:$B$13,B546)</x:f>
        <x:v>青锋</x:v>
      </x:c>
      <x:c r="D546" s="83" t="n">
        <x:f>G540</x:f>
        <x:v>301.6844990207776</x:v>
      </x:c>
      <x:c r="E546" s="83" t="str">
        <x:f>IF(A546=0,"GRID",IF(D546&gt;=Control!$B$17,"FINISHED",IF(AND(A546&gt;=INDEX(Drivers!$G$8:$G$13,B546),A546&lt;INDEX(Drivers!$G$8:$G$13,B546)+INDEX(Drivers!$J$8:$J$13,B546)),"PIT",IF(MOD(A546+INDEX(Drivers!$F$8:$F$13,B546),Control!$B$11)&lt;Control!$B$13,"BOOST","RACE"))))</x:f>
        <x:v>BOOST</x:v>
      </x:c>
      <x:c r="F546" s="83" t="n">
        <x:f>IF(OR(E546="GRID",E546="FINISHED",E546="PIT"),0,MAX(Control!$B$15,(INDEX(Drivers!$D$8:$D$13,B546)+INDEX(Drivers!$E$8:$E$13,B546)*SIN((A546+INDEX(Drivers!$F$8:$F$13,B546)+Control!$B$16)*Control!$B$14))*INDEX(TrackMap!$M$8:$M$141,MOD(INT(D546)-1,Control!$B$7)+1)*IF(E546="BOOST",Control!$B$12,1)))</x:f>
        <x:v>5.566842982229707</x:v>
      </x:c>
      <x:c r="G546" s="83" t="n">
        <x:f>IF(A546=0,D546,MIN(Control!$B$17,D546+F546))</x:f>
        <x:v>307.2513420030073</x:v>
      </x:c>
      <x:c r="H546" s="73" t="n">
        <x:f>MOD(INT(G546)-1,Control!$B$7)+1</x:f>
        <x:v>39</x:v>
      </x:c>
      <x:c r="I546" s="73" t="n">
        <x:f>MIN(Control!$B$6,MAX(1,INT(MAX(0,G546)/Control!$B$7)+1))</x:f>
        <x:v>3</x:v>
      </x:c>
      <x:c r="J546" s="73" t="n">
        <x:f>INDEX(Drivers!$H$8:$H$13,B546)</x:f>
        <x:v>1</x:v>
      </x:c>
      <x:c r="K546" s="73" t="n">
        <x:f>IF(J546=1,INDEX(TrackMap!$I$8:$I$141,H546),INDEX(TrackMap!$L$8:$L$141,H546))</x:f>
        <x:v>815</x:v>
      </x:c>
      <x:c r="L546" s="73" t="str">
        <x:f>INDEX(TrackMap!$F$8:$F$141,H546)</x:f>
        <x:v>→</x:v>
      </x:c>
      <x:c r="M546" s="87" t="n">
        <x:f>MAX(0,G546/Control!$B$17)</x:f>
        <x:v>0.458584092541802</x:v>
      </x:c>
      <x:c r="N546" s="73" t="n">
        <x:f>IF(N540&gt;0,N540,IF(G546&gt;=Control!$B$17,A546,0))</x:f>
        <x:v>0</x:v>
      </x:c>
      <x:c r="O546" s="91" t="n">
        <x:f>IF(N546&gt;0,Control!$B$17+Control!$B$8+1-N546,G546)-B546/100000</x:f>
        <x:v>307.25129200300734</x:v>
      </x:c>
      <x:c r="P546" s="73" t="n">
        <x:f>COUNTIF($O$542:$O$547,"&gt;"&amp;O546)+1</x:f>
        <x:v>4</x:v>
      </x:c>
      <x:c r="Q546" s="83" t="n">
        <x:f>MAX($G$542:$G$547)-G546</x:f>
        <x:v>2.1444147075373508</x:v>
      </x:c>
      <x:c r="R546" s="73" t="str">
        <x:f>INDEX(TrackMap!$B$8:$B$141,H546)</x:f>
        <x:v>西侧发卡弯</x:v>
      </x:c>
    </x:row>
    <x:row r="547" ht="20" customHeight="1">
      <x:c r="A547" s="73" t="n">
        <x:v>89</x:v>
      </x:c>
      <x:c r="B547" s="73" t="n">
        <x:v>6</x:v>
      </x:c>
      <x:c r="C547" s="73" t="str">
        <x:f>INDEX(Drivers!$B$8:$B$13,B547)</x:f>
        <x:v>玫速</x:v>
      </x:c>
      <x:c r="D547" s="83" t="n">
        <x:f>G541</x:f>
        <x:v>304.2587829100346</x:v>
      </x:c>
      <x:c r="E547" s="83" t="str">
        <x:f>IF(A547=0,"GRID",IF(D547&gt;=Control!$B$17,"FINISHED",IF(AND(A547&gt;=INDEX(Drivers!$G$8:$G$13,B547),A547&lt;INDEX(Drivers!$G$8:$G$13,B547)+INDEX(Drivers!$J$8:$J$13,B547)),"PIT",IF(MOD(A547+INDEX(Drivers!$F$8:$F$13,B547),Control!$B$11)&lt;Control!$B$13,"BOOST","RACE"))))</x:f>
        <x:v>RACE</x:v>
      </x:c>
      <x:c r="F547" s="83" t="n">
        <x:f>IF(OR(E547="GRID",E547="FINISHED",E547="PIT"),0,MAX(Control!$B$15,(INDEX(Drivers!$D$8:$D$13,B547)+INDEX(Drivers!$E$8:$E$13,B547)*SIN((A547+INDEX(Drivers!$F$8:$F$13,B547)+Control!$B$16)*Control!$B$14))*INDEX(TrackMap!$M$8:$M$141,MOD(INT(D547)-1,Control!$B$7)+1)*IF(E547="BOOST",Control!$B$12,1)))</x:f>
        <x:v>2.414884768355205</x:v>
      </x:c>
      <x:c r="G547" s="83" t="n">
        <x:f>IF(A547=0,D547,MIN(Control!$B$17,D547+F547))</x:f>
        <x:v>306.6736676783898</x:v>
      </x:c>
      <x:c r="H547" s="73" t="n">
        <x:f>MOD(INT(G547)-1,Control!$B$7)+1</x:f>
        <x:v>38</x:v>
      </x:c>
      <x:c r="I547" s="73" t="n">
        <x:f>MIN(Control!$B$6,MAX(1,INT(MAX(0,G547)/Control!$B$7)+1))</x:f>
        <x:v>3</x:v>
      </x:c>
      <x:c r="J547" s="73" t="n">
        <x:f>INDEX(Drivers!$H$8:$H$13,B547)</x:f>
        <x:v>2</x:v>
      </x:c>
      <x:c r="K547" s="73" t="n">
        <x:f>IF(J547=1,INDEX(TrackMap!$I$8:$I$141,H547),INDEX(TrackMap!$L$8:$L$141,H547))</x:f>
        <x:v>914</x:v>
      </x:c>
      <x:c r="L547" s="73" t="str">
        <x:f>INDEX(TrackMap!$F$8:$F$141,H547)</x:f>
        <x:v>→</x:v>
      </x:c>
      <x:c r="M547" s="87" t="n">
        <x:f>MAX(0,G547/Control!$B$17)</x:f>
        <x:v>0.4577218920572982</x:v>
      </x:c>
      <x:c r="N547" s="73" t="n">
        <x:f>IF(N541&gt;0,N541,IF(G547&gt;=Control!$B$17,A547,0))</x:f>
        <x:v>0</x:v>
      </x:c>
      <x:c r="O547" s="91" t="n">
        <x:f>IF(N547&gt;0,Control!$B$17+Control!$B$8+1-N547,G547)-B547/100000</x:f>
        <x:v>306.67360767838977</x:v>
      </x:c>
      <x:c r="P547" s="73" t="n">
        <x:f>COUNTIF($O$542:$O$547,"&gt;"&amp;O547)+1</x:f>
        <x:v>5</x:v>
      </x:c>
      <x:c r="Q547" s="83" t="n">
        <x:f>MAX($G$542:$G$547)-G547</x:f>
        <x:v>2.7220890321548836</x:v>
      </x:c>
      <x:c r="R547" s="73" t="str">
        <x:f>INDEX(TrackMap!$B$8:$B$141,H547)</x:f>
        <x:v>西侧发卡弯</x:v>
      </x:c>
    </x:row>
    <x:row r="548" ht="20" customHeight="1">
      <x:c r="A548" s="73" t="n">
        <x:v>90</x:v>
      </x:c>
      <x:c r="B548" s="73" t="n">
        <x:v>1</x:v>
      </x:c>
      <x:c r="C548" s="73" t="str">
        <x:f>INDEX(Drivers!$B$8:$B$13,B548)</x:f>
        <x:v>赤焰</x:v>
      </x:c>
      <x:c r="D548" s="83" t="n">
        <x:f>G542</x:f>
        <x:v>308.98537082641155</x:v>
      </x:c>
      <x:c r="E548" s="83" t="str">
        <x:f>IF(A548=0,"GRID",IF(D548&gt;=Control!$B$17,"FINISHED",IF(AND(A548&gt;=INDEX(Drivers!$G$8:$G$13,B548),A548&lt;INDEX(Drivers!$G$8:$G$13,B548)+INDEX(Drivers!$J$8:$J$13,B548)),"PIT",IF(MOD(A548+INDEX(Drivers!$F$8:$F$13,B548),Control!$B$11)&lt;Control!$B$13,"BOOST","RACE"))))</x:f>
        <x:v>BOOST</x:v>
      </x:c>
      <x:c r="F548" s="83" t="n">
        <x:f>IF(OR(E548="GRID",E548="FINISHED",E548="PIT"),0,MAX(Control!$B$15,(INDEX(Drivers!$D$8:$D$13,B548)+INDEX(Drivers!$E$8:$E$13,B548)*SIN((A548+INDEX(Drivers!$F$8:$F$13,B548)+Control!$B$16)*Control!$B$14))*INDEX(TrackMap!$M$8:$M$141,MOD(INT(D548)-1,Control!$B$7)+1)*IF(E548="BOOST",Control!$B$12,1)))</x:f>
        <x:v>4.251119791856497</x:v>
      </x:c>
      <x:c r="G548" s="83" t="n">
        <x:f>IF(A548=0,D548,MIN(Control!$B$17,D548+F548))</x:f>
        <x:v>313.2364906182681</x:v>
      </x:c>
      <x:c r="H548" s="73" t="n">
        <x:f>MOD(INT(G548)-1,Control!$B$7)+1</x:f>
        <x:v>45</x:v>
      </x:c>
      <x:c r="I548" s="73" t="n">
        <x:f>MIN(Control!$B$6,MAX(1,INT(MAX(0,G548)/Control!$B$7)+1))</x:f>
        <x:v>3</x:v>
      </x:c>
      <x:c r="J548" s="73" t="n">
        <x:f>INDEX(Drivers!$H$8:$H$13,B548)</x:f>
        <x:v>1</x:v>
      </x:c>
      <x:c r="K548" s="73" t="n">
        <x:f>IF(J548=1,INDEX(TrackMap!$I$8:$I$141,H548),INDEX(TrackMap!$L$8:$L$141,H548))</x:f>
        <x:v>1219</x:v>
      </x:c>
      <x:c r="L548" s="73" t="str">
        <x:f>INDEX(TrackMap!$F$8:$F$141,H548)</x:f>
        <x:v>↓</x:v>
      </x:c>
      <x:c r="M548" s="87" t="n">
        <x:f>MAX(0,G548/Control!$B$17)</x:f>
        <x:v>0.4675171501765195</x:v>
      </x:c>
      <x:c r="N548" s="73" t="n">
        <x:f>IF(N542&gt;0,N542,IF(G548&gt;=Control!$B$17,A548,0))</x:f>
        <x:v>0</x:v>
      </x:c>
      <x:c r="O548" s="91" t="n">
        <x:f>IF(N548&gt;0,Control!$B$17+Control!$B$8+1-N548,G548)-B548/100000</x:f>
        <x:v>313.2364806182681</x:v>
      </x:c>
      <x:c r="P548" s="73" t="n">
        <x:f>COUNTIF($O$548:$O$553,"&gt;"&amp;O548)+1</x:f>
        <x:v>1</x:v>
      </x:c>
      <x:c r="Q548" s="83" t="n">
        <x:f>MAX($G$548:$G$553)-G548</x:f>
        <x:v>0</x:v>
      </x:c>
      <x:c r="R548" s="73" t="str">
        <x:f>INDEX(TrackMap!$B$8:$B$141,H548)</x:f>
        <x:v>中段下行弯</x:v>
      </x:c>
    </x:row>
    <x:row r="549" ht="20" customHeight="1">
      <x:c r="A549" s="73" t="n">
        <x:v>90</x:v>
      </x:c>
      <x:c r="B549" s="73" t="n">
        <x:v>2</x:v>
      </x:c>
      <x:c r="C549" s="73" t="str">
        <x:f>INDEX(Drivers!$B$8:$B$13,B549)</x:f>
        <x:v>蓝电</x:v>
      </x:c>
      <x:c r="D549" s="83" t="n">
        <x:f>G543</x:f>
        <x:v>308.3797373777814</x:v>
      </x:c>
      <x:c r="E549" s="83" t="str">
        <x:f>IF(A549=0,"GRID",IF(D549&gt;=Control!$B$17,"FINISHED",IF(AND(A549&gt;=INDEX(Drivers!$G$8:$G$13,B549),A549&lt;INDEX(Drivers!$G$8:$G$13,B549)+INDEX(Drivers!$J$8:$J$13,B549)),"PIT",IF(MOD(A549+INDEX(Drivers!$F$8:$F$13,B549),Control!$B$11)&lt;Control!$B$13,"BOOST","RACE"))))</x:f>
        <x:v>RACE</x:v>
      </x:c>
      <x:c r="F549" s="83" t="n">
        <x:f>IF(OR(E549="GRID",E549="FINISHED",E549="PIT"),0,MAX(Control!$B$15,(INDEX(Drivers!$D$8:$D$13,B549)+INDEX(Drivers!$E$8:$E$13,B549)*SIN((A549+INDEX(Drivers!$F$8:$F$13,B549)+Control!$B$16)*Control!$B$14))*INDEX(TrackMap!$M$8:$M$141,MOD(INT(D549)-1,Control!$B$7)+1)*IF(E549="BOOST",Control!$B$12,1)))</x:f>
        <x:v>2.686027567569599</x:v>
      </x:c>
      <x:c r="G549" s="83" t="n">
        <x:f>IF(A549=0,D549,MIN(Control!$B$17,D549+F549))</x:f>
        <x:v>311.065764945351</x:v>
      </x:c>
      <x:c r="H549" s="73" t="n">
        <x:f>MOD(INT(G549)-1,Control!$B$7)+1</x:f>
        <x:v>43</x:v>
      </x:c>
      <x:c r="I549" s="73" t="n">
        <x:f>MIN(Control!$B$6,MAX(1,INT(MAX(0,G549)/Control!$B$7)+1))</x:f>
        <x:v>3</x:v>
      </x:c>
      <x:c r="J549" s="73" t="n">
        <x:f>INDEX(Drivers!$H$8:$H$13,B549)</x:f>
        <x:v>2</x:v>
      </x:c>
      <x:c r="K549" s="73" t="n">
        <x:f>IF(J549=1,INDEX(TrackMap!$I$8:$I$141,H549),INDEX(TrackMap!$L$8:$L$141,H549))</x:f>
        <x:v>1019</x:v>
      </x:c>
      <x:c r="L549" s="73" t="str">
        <x:f>INDEX(TrackMap!$F$8:$F$141,H549)</x:f>
        <x:v>↓</x:v>
      </x:c>
      <x:c r="M549" s="87" t="n">
        <x:f>MAX(0,G549/Control!$B$17)</x:f>
        <x:v>0.4642772611124642</x:v>
      </x:c>
      <x:c r="N549" s="73" t="n">
        <x:f>IF(N543&gt;0,N543,IF(G549&gt;=Control!$B$17,A549,0))</x:f>
        <x:v>0</x:v>
      </x:c>
      <x:c r="O549" s="91" t="n">
        <x:f>IF(N549&gt;0,Control!$B$17+Control!$B$8+1-N549,G549)-B549/100000</x:f>
        <x:v>311.065744945351</x:v>
      </x:c>
      <x:c r="P549" s="73" t="n">
        <x:f>COUNTIF($O$548:$O$553,"&gt;"&amp;O549)+1</x:f>
        <x:v>4</x:v>
      </x:c>
      <x:c r="Q549" s="83" t="n">
        <x:f>MAX($G$548:$G$553)-G549</x:f>
        <x:v>2.170725672917058</x:v>
      </x:c>
      <x:c r="R549" s="73" t="str">
        <x:f>INDEX(TrackMap!$B$8:$B$141,H549)</x:f>
        <x:v>西侧发卡弯</x:v>
      </x:c>
    </x:row>
    <x:row r="550" ht="20" customHeight="1">
      <x:c r="A550" s="73" t="n">
        <x:v>90</x:v>
      </x:c>
      <x:c r="B550" s="73" t="n">
        <x:v>3</x:v>
      </x:c>
      <x:c r="C550" s="73" t="str">
        <x:f>INDEX(Drivers!$B$8:$B$13,B550)</x:f>
        <x:v>金翼</x:v>
      </x:c>
      <x:c r="D550" s="83" t="n">
        <x:f>G544</x:f>
        <x:v>309.3957567105447</x:v>
      </x:c>
      <x:c r="E550" s="83" t="str">
        <x:f>IF(A550=0,"GRID",IF(D550&gt;=Control!$B$17,"FINISHED",IF(AND(A550&gt;=INDEX(Drivers!$G$8:$G$13,B550),A550&lt;INDEX(Drivers!$G$8:$G$13,B550)+INDEX(Drivers!$J$8:$J$13,B550)),"PIT",IF(MOD(A550+INDEX(Drivers!$F$8:$F$13,B550),Control!$B$11)&lt;Control!$B$13,"BOOST","RACE"))))</x:f>
        <x:v>RACE</x:v>
      </x:c>
      <x:c r="F550" s="83" t="n">
        <x:f>IF(OR(E550="GRID",E550="FINISHED",E550="PIT"),0,MAX(Control!$B$15,(INDEX(Drivers!$D$8:$D$13,B550)+INDEX(Drivers!$E$8:$E$13,B550)*SIN((A550+INDEX(Drivers!$F$8:$F$13,B550)+Control!$B$16)*Control!$B$14))*INDEX(TrackMap!$M$8:$M$141,MOD(INT(D550)-1,Control!$B$7)+1)*IF(E550="BOOST",Control!$B$12,1)))</x:f>
        <x:v>2.76246895660499</x:v>
      </x:c>
      <x:c r="G550" s="83" t="n">
        <x:f>IF(A550=0,D550,MIN(Control!$B$17,D550+F550))</x:f>
        <x:v>312.1582256671497</x:v>
      </x:c>
      <x:c r="H550" s="73" t="n">
        <x:f>MOD(INT(G550)-1,Control!$B$7)+1</x:f>
        <x:v>44</x:v>
      </x:c>
      <x:c r="I550" s="73" t="n">
        <x:f>MIN(Control!$B$6,MAX(1,INT(MAX(0,G550)/Control!$B$7)+1))</x:f>
        <x:v>3</x:v>
      </x:c>
      <x:c r="J550" s="73" t="n">
        <x:f>INDEX(Drivers!$H$8:$H$13,B550)</x:f>
        <x:v>1</x:v>
      </x:c>
      <x:c r="K550" s="73" t="n">
        <x:f>IF(J550=1,INDEX(TrackMap!$I$8:$I$141,H550),INDEX(TrackMap!$L$8:$L$141,H550))</x:f>
        <x:v>1119</x:v>
      </x:c>
      <x:c r="L550" s="73" t="str">
        <x:f>INDEX(TrackMap!$F$8:$F$141,H550)</x:f>
        <x:v>↓</x:v>
      </x:c>
      <x:c r="M550" s="87" t="n">
        <x:f>MAX(0,G550/Control!$B$17)</x:f>
        <x:v>0.4659077995032085</x:v>
      </x:c>
      <x:c r="N550" s="73" t="n">
        <x:f>IF(N544&gt;0,N544,IF(G550&gt;=Control!$B$17,A550,0))</x:f>
        <x:v>0</x:v>
      </x:c>
      <x:c r="O550" s="91" t="n">
        <x:f>IF(N550&gt;0,Control!$B$17+Control!$B$8+1-N550,G550)-B550/100000</x:f>
        <x:v>312.1581956671497</x:v>
      </x:c>
      <x:c r="P550" s="73" t="n">
        <x:f>COUNTIF($O$548:$O$553,"&gt;"&amp;O550)+1</x:f>
        <x:v>2</x:v>
      </x:c>
      <x:c r="Q550" s="83" t="n">
        <x:f>MAX($G$548:$G$553)-G550</x:f>
        <x:v>1.078264951118399</x:v>
      </x:c>
      <x:c r="R550" s="73" t="str">
        <x:f>INDEX(TrackMap!$B$8:$B$141,H550)</x:f>
        <x:v>中段下行弯</x:v>
      </x:c>
    </x:row>
    <x:row r="551" ht="20" customHeight="1">
      <x:c r="A551" s="73" t="n">
        <x:v>90</x:v>
      </x:c>
      <x:c r="B551" s="73" t="n">
        <x:v>4</x:v>
      </x:c>
      <x:c r="C551" s="73" t="str">
        <x:f>INDEX(Drivers!$B$8:$B$13,B551)</x:f>
        <x:v>紫影</x:v>
      </x:c>
      <x:c r="D551" s="83" t="n">
        <x:f>G545</x:f>
        <x:v>305.8658947165015</x:v>
      </x:c>
      <x:c r="E551" s="83" t="str">
        <x:f>IF(A551=0,"GRID",IF(D551&gt;=Control!$B$17,"FINISHED",IF(AND(A551&gt;=INDEX(Drivers!$G$8:$G$13,B551),A551&lt;INDEX(Drivers!$G$8:$G$13,B551)+INDEX(Drivers!$J$8:$J$13,B551)),"PIT",IF(MOD(A551+INDEX(Drivers!$F$8:$F$13,B551),Control!$B$11)&lt;Control!$B$13,"BOOST","RACE"))))</x:f>
        <x:v>RACE</x:v>
      </x:c>
      <x:c r="F551" s="83" t="n">
        <x:f>IF(OR(E551="GRID",E551="FINISHED",E551="PIT"),0,MAX(Control!$B$15,(INDEX(Drivers!$D$8:$D$13,B551)+INDEX(Drivers!$E$8:$E$13,B551)*SIN((A551+INDEX(Drivers!$F$8:$F$13,B551)+Control!$B$16)*Control!$B$14))*INDEX(TrackMap!$M$8:$M$141,MOD(INT(D551)-1,Control!$B$7)+1)*IF(E551="BOOST",Control!$B$12,1)))</x:f>
        <x:v>3.1549145240588397</x:v>
      </x:c>
      <x:c r="G551" s="83" t="n">
        <x:f>IF(A551=0,D551,MIN(Control!$B$17,D551+F551))</x:f>
        <x:v>309.0208092405603</x:v>
      </x:c>
      <x:c r="H551" s="73" t="n">
        <x:f>MOD(INT(G551)-1,Control!$B$7)+1</x:f>
        <x:v>41</x:v>
      </x:c>
      <x:c r="I551" s="73" t="n">
        <x:f>MIN(Control!$B$6,MAX(1,INT(MAX(0,G551)/Control!$B$7)+1))</x:f>
        <x:v>3</x:v>
      </x:c>
      <x:c r="J551" s="73" t="n">
        <x:f>INDEX(Drivers!$H$8:$H$13,B551)</x:f>
        <x:v>2</x:v>
      </x:c>
      <x:c r="K551" s="73" t="n">
        <x:f>IF(J551=1,INDEX(TrackMap!$I$8:$I$141,H551),INDEX(TrackMap!$L$8:$L$141,H551))</x:f>
        <x:v>917</x:v>
      </x:c>
      <x:c r="L551" s="73" t="str">
        <x:f>INDEX(TrackMap!$F$8:$F$141,H551)</x:f>
        <x:v>→</x:v>
      </x:c>
      <x:c r="M551" s="87" t="n">
        <x:f>MAX(0,G551/Control!$B$17)</x:f>
        <x:v>0.4612250884187467</x:v>
      </x:c>
      <x:c r="N551" s="73" t="n">
        <x:f>IF(N545&gt;0,N545,IF(G551&gt;=Control!$B$17,A551,0))</x:f>
        <x:v>0</x:v>
      </x:c>
      <x:c r="O551" s="91" t="n">
        <x:f>IF(N551&gt;0,Control!$B$17+Control!$B$8+1-N551,G551)-B551/100000</x:f>
        <x:v>309.0207692405603</x:v>
      </x:c>
      <x:c r="P551" s="73" t="n">
        <x:f>COUNTIF($O$548:$O$553,"&gt;"&amp;O551)+1</x:f>
        <x:v>6</x:v>
      </x:c>
      <x:c r="Q551" s="83" t="n">
        <x:f>MAX($G$548:$G$553)-G551</x:f>
        <x:v>4.215681377707767</x:v>
      </x:c>
      <x:c r="R551" s="73" t="str">
        <x:f>INDEX(TrackMap!$B$8:$B$141,H551)</x:f>
        <x:v>西侧发卡弯</x:v>
      </x:c>
    </x:row>
    <x:row r="552" ht="20" customHeight="1">
      <x:c r="A552" s="73" t="n">
        <x:v>90</x:v>
      </x:c>
      <x:c r="B552" s="73" t="n">
        <x:v>5</x:v>
      </x:c>
      <x:c r="C552" s="73" t="str">
        <x:f>INDEX(Drivers!$B$8:$B$13,B552)</x:f>
        <x:v>青锋</x:v>
      </x:c>
      <x:c r="D552" s="83" t="n">
        <x:f>G546</x:f>
        <x:v>307.2513420030073</x:v>
      </x:c>
      <x:c r="E552" s="83" t="str">
        <x:f>IF(A552=0,"GRID",IF(D552&gt;=Control!$B$17,"FINISHED",IF(AND(A552&gt;=INDEX(Drivers!$G$8:$G$13,B552),A552&lt;INDEX(Drivers!$G$8:$G$13,B552)+INDEX(Drivers!$J$8:$J$13,B552)),"PIT",IF(MOD(A552+INDEX(Drivers!$F$8:$F$13,B552),Control!$B$11)&lt;Control!$B$13,"BOOST","RACE"))))</x:f>
        <x:v>BOOST</x:v>
      </x:c>
      <x:c r="F552" s="83" t="n">
        <x:f>IF(OR(E552="GRID",E552="FINISHED",E552="PIT"),0,MAX(Control!$B$15,(INDEX(Drivers!$D$8:$D$13,B552)+INDEX(Drivers!$E$8:$E$13,B552)*SIN((A552+INDEX(Drivers!$F$8:$F$13,B552)+Control!$B$16)*Control!$B$14))*INDEX(TrackMap!$M$8:$M$141,MOD(INT(D552)-1,Control!$B$7)+1)*IF(E552="BOOST",Control!$B$12,1)))</x:f>
        <x:v>4.244661459507435</x:v>
      </x:c>
      <x:c r="G552" s="83" t="n">
        <x:f>IF(A552=0,D552,MIN(Control!$B$17,D552+F552))</x:f>
        <x:v>311.49600346251475</x:v>
      </x:c>
      <x:c r="H552" s="73" t="n">
        <x:f>MOD(INT(G552)-1,Control!$B$7)+1</x:f>
        <x:v>43</x:v>
      </x:c>
      <x:c r="I552" s="73" t="n">
        <x:f>MIN(Control!$B$6,MAX(1,INT(MAX(0,G552)/Control!$B$7)+1))</x:f>
        <x:v>3</x:v>
      </x:c>
      <x:c r="J552" s="73" t="n">
        <x:f>INDEX(Drivers!$H$8:$H$13,B552)</x:f>
        <x:v>1</x:v>
      </x:c>
      <x:c r="K552" s="73" t="n">
        <x:f>IF(J552=1,INDEX(TrackMap!$I$8:$I$141,H552),INDEX(TrackMap!$L$8:$L$141,H552))</x:f>
        <x:v>1020</x:v>
      </x:c>
      <x:c r="L552" s="73" t="str">
        <x:f>INDEX(TrackMap!$F$8:$F$141,H552)</x:f>
        <x:v>↓</x:v>
      </x:c>
      <x:c r="M552" s="87" t="n">
        <x:f>MAX(0,G552/Control!$B$17)</x:f>
        <x:v>0.4649194081530071</x:v>
      </x:c>
      <x:c r="N552" s="73" t="n">
        <x:f>IF(N546&gt;0,N546,IF(G552&gt;=Control!$B$17,A552,0))</x:f>
        <x:v>0</x:v>
      </x:c>
      <x:c r="O552" s="91" t="n">
        <x:f>IF(N552&gt;0,Control!$B$17+Control!$B$8+1-N552,G552)-B552/100000</x:f>
        <x:v>311.49595346251476</x:v>
      </x:c>
      <x:c r="P552" s="73" t="n">
        <x:f>COUNTIF($O$548:$O$553,"&gt;"&amp;O552)+1</x:f>
        <x:v>3</x:v>
      </x:c>
      <x:c r="Q552" s="83" t="n">
        <x:f>MAX($G$548:$G$553)-G552</x:f>
        <x:v>1.7404871557533284</x:v>
      </x:c>
      <x:c r="R552" s="73" t="str">
        <x:f>INDEX(TrackMap!$B$8:$B$141,H552)</x:f>
        <x:v>西侧发卡弯</x:v>
      </x:c>
    </x:row>
    <x:row r="553" ht="20" customHeight="1">
      <x:c r="A553" s="73" t="n">
        <x:v>90</x:v>
      </x:c>
      <x:c r="B553" s="73" t="n">
        <x:v>6</x:v>
      </x:c>
      <x:c r="C553" s="73" t="str">
        <x:f>INDEX(Drivers!$B$8:$B$13,B553)</x:f>
        <x:v>玫速</x:v>
      </x:c>
      <x:c r="D553" s="83" t="n">
        <x:f>G547</x:f>
        <x:v>306.6736676783898</x:v>
      </x:c>
      <x:c r="E553" s="83" t="str">
        <x:f>IF(A553=0,"GRID",IF(D553&gt;=Control!$B$17,"FINISHED",IF(AND(A553&gt;=INDEX(Drivers!$G$8:$G$13,B553),A553&lt;INDEX(Drivers!$G$8:$G$13,B553)+INDEX(Drivers!$J$8:$J$13,B553)),"PIT",IF(MOD(A553+INDEX(Drivers!$F$8:$F$13,B553),Control!$B$11)&lt;Control!$B$13,"BOOST","RACE"))))</x:f>
        <x:v>RACE</x:v>
      </x:c>
      <x:c r="F553" s="83" t="n">
        <x:f>IF(OR(E553="GRID",E553="FINISHED",E553="PIT"),0,MAX(Control!$B$15,(INDEX(Drivers!$D$8:$D$13,B553)+INDEX(Drivers!$E$8:$E$13,B553)*SIN((A553+INDEX(Drivers!$F$8:$F$13,B553)+Control!$B$16)*Control!$B$14))*INDEX(TrackMap!$M$8:$M$141,MOD(INT(D553)-1,Control!$B$7)+1)*IF(E553="BOOST",Control!$B$12,1)))</x:f>
        <x:v>2.4068814226868276</x:v>
      </x:c>
      <x:c r="G553" s="83" t="n">
        <x:f>IF(A553=0,D553,MIN(Control!$B$17,D553+F553))</x:f>
        <x:v>309.0805491010766</x:v>
      </x:c>
      <x:c r="H553" s="73" t="n">
        <x:f>MOD(INT(G553)-1,Control!$B$7)+1</x:f>
        <x:v>41</x:v>
      </x:c>
      <x:c r="I553" s="73" t="n">
        <x:f>MIN(Control!$B$6,MAX(1,INT(MAX(0,G553)/Control!$B$7)+1))</x:f>
        <x:v>3</x:v>
      </x:c>
      <x:c r="J553" s="73" t="n">
        <x:f>INDEX(Drivers!$H$8:$H$13,B553)</x:f>
        <x:v>2</x:v>
      </x:c>
      <x:c r="K553" s="73" t="n">
        <x:f>IF(J553=1,INDEX(TrackMap!$I$8:$I$141,H553),INDEX(TrackMap!$L$8:$L$141,H553))</x:f>
        <x:v>917</x:v>
      </x:c>
      <x:c r="L553" s="73" t="str">
        <x:f>INDEX(TrackMap!$F$8:$F$141,H553)</x:f>
        <x:v>→</x:v>
      </x:c>
      <x:c r="M553" s="87" t="n">
        <x:f>MAX(0,G553/Control!$B$17)</x:f>
        <x:v>0.46131425238966656</x:v>
      </x:c>
      <x:c r="N553" s="73" t="n">
        <x:f>IF(N547&gt;0,N547,IF(G553&gt;=Control!$B$17,A553,0))</x:f>
        <x:v>0</x:v>
      </x:c>
      <x:c r="O553" s="91" t="n">
        <x:f>IF(N553&gt;0,Control!$B$17+Control!$B$8+1-N553,G553)-B553/100000</x:f>
        <x:v>309.0804891010766</x:v>
      </x:c>
      <x:c r="P553" s="73" t="n">
        <x:f>COUNTIF($O$548:$O$553,"&gt;"&amp;O553)+1</x:f>
        <x:v>5</x:v>
      </x:c>
      <x:c r="Q553" s="83" t="n">
        <x:f>MAX($G$548:$G$553)-G553</x:f>
        <x:v>4.155941517191479</x:v>
      </x:c>
      <x:c r="R553" s="73" t="str">
        <x:f>INDEX(TrackMap!$B$8:$B$141,H553)</x:f>
        <x:v>西侧发卡弯</x:v>
      </x:c>
    </x:row>
    <x:row r="554" ht="20" customHeight="1">
      <x:c r="A554" s="73" t="n">
        <x:v>91</x:v>
      </x:c>
      <x:c r="B554" s="73" t="n">
        <x:v>1</x:v>
      </x:c>
      <x:c r="C554" s="73" t="str">
        <x:f>INDEX(Drivers!$B$8:$B$13,B554)</x:f>
        <x:v>赤焰</x:v>
      </x:c>
      <x:c r="D554" s="83" t="n">
        <x:f>G548</x:f>
        <x:v>313.2364906182681</x:v>
      </x:c>
      <x:c r="E554" s="83" t="str">
        <x:f>IF(A554=0,"GRID",IF(D554&gt;=Control!$B$17,"FINISHED",IF(AND(A554&gt;=INDEX(Drivers!$G$8:$G$13,B554),A554&lt;INDEX(Drivers!$G$8:$G$13,B554)+INDEX(Drivers!$J$8:$J$13,B554)),"PIT",IF(MOD(A554+INDEX(Drivers!$F$8:$F$13,B554),Control!$B$11)&lt;Control!$B$13,"BOOST","RACE"))))</x:f>
        <x:v>BOOST</x:v>
      </x:c>
      <x:c r="F554" s="83" t="n">
        <x:f>IF(OR(E554="GRID",E554="FINISHED",E554="PIT"),0,MAX(Control!$B$15,(INDEX(Drivers!$D$8:$D$13,B554)+INDEX(Drivers!$E$8:$E$13,B554)*SIN((A554+INDEX(Drivers!$F$8:$F$13,B554)+Control!$B$16)*Control!$B$14))*INDEX(TrackMap!$M$8:$M$141,MOD(INT(D554)-1,Control!$B$7)+1)*IF(E554="BOOST",Control!$B$12,1)))</x:f>
        <x:v>4.372287143646932</x:v>
      </x:c>
      <x:c r="G554" s="83" t="n">
        <x:f>IF(A554=0,D554,MIN(Control!$B$17,D554+F554))</x:f>
        <x:v>317.608777761915</x:v>
      </x:c>
      <x:c r="H554" s="73" t="n">
        <x:f>MOD(INT(G554)-1,Control!$B$7)+1</x:f>
        <x:v>49</x:v>
      </x:c>
      <x:c r="I554" s="73" t="n">
        <x:f>MIN(Control!$B$6,MAX(1,INT(MAX(0,G554)/Control!$B$7)+1))</x:f>
        <x:v>3</x:v>
      </x:c>
      <x:c r="J554" s="73" t="n">
        <x:f>INDEX(Drivers!$H$8:$H$13,B554)</x:f>
        <x:v>1</x:v>
      </x:c>
      <x:c r="K554" s="73" t="n">
        <x:f>IF(J554=1,INDEX(TrackMap!$I$8:$I$141,H554),INDEX(TrackMap!$L$8:$L$141,H554))</x:f>
        <x:v>1622</x:v>
      </x:c>
      <x:c r="L554" s="73" t="str">
        <x:f>INDEX(TrackMap!$F$8:$F$141,H554)</x:f>
        <x:v>→</x:v>
      </x:c>
      <x:c r="M554" s="87" t="n">
        <x:f>MAX(0,G554/Control!$B$17)</x:f>
        <x:v>0.47404295188345524</x:v>
      </x:c>
      <x:c r="N554" s="73" t="n">
        <x:f>IF(N548&gt;0,N548,IF(G554&gt;=Control!$B$17,A554,0))</x:f>
        <x:v>0</x:v>
      </x:c>
      <x:c r="O554" s="91" t="n">
        <x:f>IF(N554&gt;0,Control!$B$17+Control!$B$8+1-N554,G554)-B554/100000</x:f>
        <x:v>317.60876776191503</x:v>
      </x:c>
      <x:c r="P554" s="73" t="n">
        <x:f>COUNTIF($O$554:$O$559,"&gt;"&amp;O554)+1</x:f>
        <x:v>1</x:v>
      </x:c>
      <x:c r="Q554" s="83" t="n">
        <x:f>MAX($G$554:$G$559)-G554</x:f>
        <x:v>0</x:v>
      </x:c>
      <x:c r="R554" s="73" t="str">
        <x:f>INDEX(TrackMap!$B$8:$B$141,H554)</x:f>
        <x:v>中央高速直道</x:v>
      </x:c>
    </x:row>
    <x:row r="555" ht="20" customHeight="1">
      <x:c r="A555" s="73" t="n">
        <x:v>91</x:v>
      </x:c>
      <x:c r="B555" s="73" t="n">
        <x:v>2</x:v>
      </x:c>
      <x:c r="C555" s="73" t="str">
        <x:f>INDEX(Drivers!$B$8:$B$13,B555)</x:f>
        <x:v>蓝电</x:v>
      </x:c>
      <x:c r="D555" s="83" t="n">
        <x:f>G549</x:f>
        <x:v>311.065764945351</x:v>
      </x:c>
      <x:c r="E555" s="83" t="str">
        <x:f>IF(A555=0,"GRID",IF(D555&gt;=Control!$B$17,"FINISHED",IF(AND(A555&gt;=INDEX(Drivers!$G$8:$G$13,B555),A555&lt;INDEX(Drivers!$G$8:$G$13,B555)+INDEX(Drivers!$J$8:$J$13,B555)),"PIT",IF(MOD(A555+INDEX(Drivers!$F$8:$F$13,B555),Control!$B$11)&lt;Control!$B$13,"BOOST","RACE"))))</x:f>
        <x:v>RACE</x:v>
      </x:c>
      <x:c r="F555" s="83" t="n">
        <x:f>IF(OR(E555="GRID",E555="FINISHED",E555="PIT"),0,MAX(Control!$B$15,(INDEX(Drivers!$D$8:$D$13,B555)+INDEX(Drivers!$E$8:$E$13,B555)*SIN((A555+INDEX(Drivers!$F$8:$F$13,B555)+Control!$B$16)*Control!$B$14))*INDEX(TrackMap!$M$8:$M$141,MOD(INT(D555)-1,Control!$B$7)+1)*IF(E555="BOOST",Control!$B$12,1)))</x:f>
        <x:v>2.5284195048219447</x:v>
      </x:c>
      <x:c r="G555" s="83" t="n">
        <x:f>IF(A555=0,D555,MIN(Control!$B$17,D555+F555))</x:f>
        <x:v>313.594184450173</x:v>
      </x:c>
      <x:c r="H555" s="73" t="n">
        <x:f>MOD(INT(G555)-1,Control!$B$7)+1</x:f>
        <x:v>45</x:v>
      </x:c>
      <x:c r="I555" s="73" t="n">
        <x:f>MIN(Control!$B$6,MAX(1,INT(MAX(0,G555)/Control!$B$7)+1))</x:f>
        <x:v>3</x:v>
      </x:c>
      <x:c r="J555" s="73" t="n">
        <x:f>INDEX(Drivers!$H$8:$H$13,B555)</x:f>
        <x:v>2</x:v>
      </x:c>
      <x:c r="K555" s="73" t="n">
        <x:f>IF(J555=1,INDEX(TrackMap!$I$8:$I$141,H555),INDEX(TrackMap!$L$8:$L$141,H555))</x:f>
        <x:v>1220</x:v>
      </x:c>
      <x:c r="L555" s="73" t="str">
        <x:f>INDEX(TrackMap!$F$8:$F$141,H555)</x:f>
        <x:v>↓</x:v>
      </x:c>
      <x:c r="M555" s="87" t="n">
        <x:f>MAX(0,G555/Control!$B$17)</x:f>
        <x:v>0.46805102156742234</x:v>
      </x:c>
      <x:c r="N555" s="73" t="n">
        <x:f>IF(N549&gt;0,N549,IF(G555&gt;=Control!$B$17,A555,0))</x:f>
        <x:v>0</x:v>
      </x:c>
      <x:c r="O555" s="91" t="n">
        <x:f>IF(N555&gt;0,Control!$B$17+Control!$B$8+1-N555,G555)-B555/100000</x:f>
        <x:v>313.59416445017297</x:v>
      </x:c>
      <x:c r="P555" s="73" t="n">
        <x:f>COUNTIF($O$554:$O$559,"&gt;"&amp;O555)+1</x:f>
        <x:v>4</x:v>
      </x:c>
      <x:c r="Q555" s="83" t="n">
        <x:f>MAX($G$554:$G$559)-G555</x:f>
        <x:v>4.014593311742033</x:v>
      </x:c>
      <x:c r="R555" s="73" t="str">
        <x:f>INDEX(TrackMap!$B$8:$B$141,H555)</x:f>
        <x:v>中段下行弯</x:v>
      </x:c>
    </x:row>
    <x:row r="556" ht="20" customHeight="1">
      <x:c r="A556" s="73" t="n">
        <x:v>91</x:v>
      </x:c>
      <x:c r="B556" s="73" t="n">
        <x:v>3</x:v>
      </x:c>
      <x:c r="C556" s="73" t="str">
        <x:f>INDEX(Drivers!$B$8:$B$13,B556)</x:f>
        <x:v>金翼</x:v>
      </x:c>
      <x:c r="D556" s="83" t="n">
        <x:f>G550</x:f>
        <x:v>312.1582256671497</x:v>
      </x:c>
      <x:c r="E556" s="83" t="str">
        <x:f>IF(A556=0,"GRID",IF(D556&gt;=Control!$B$17,"FINISHED",IF(AND(A556&gt;=INDEX(Drivers!$G$8:$G$13,B556),A556&lt;INDEX(Drivers!$G$8:$G$13,B556)+INDEX(Drivers!$J$8:$J$13,B556)),"PIT",IF(MOD(A556+INDEX(Drivers!$F$8:$F$13,B556),Control!$B$11)&lt;Control!$B$13,"BOOST","RACE"))))</x:f>
        <x:v>RACE</x:v>
      </x:c>
      <x:c r="F556" s="83" t="n">
        <x:f>IF(OR(E556="GRID",E556="FINISHED",E556="PIT"),0,MAX(Control!$B$15,(INDEX(Drivers!$D$8:$D$13,B556)+INDEX(Drivers!$E$8:$E$13,B556)*SIN((A556+INDEX(Drivers!$F$8:$F$13,B556)+Control!$B$16)*Control!$B$14))*INDEX(TrackMap!$M$8:$M$141,MOD(INT(D556)-1,Control!$B$7)+1)*IF(E556="BOOST",Control!$B$12,1)))</x:f>
        <x:v>2.9045970564013825</x:v>
      </x:c>
      <x:c r="G556" s="83" t="n">
        <x:f>IF(A556=0,D556,MIN(Control!$B$17,D556+F556))</x:f>
        <x:v>315.06282272355105</x:v>
      </x:c>
      <x:c r="H556" s="73" t="n">
        <x:f>MOD(INT(G556)-1,Control!$B$7)+1</x:f>
        <x:v>47</x:v>
      </x:c>
      <x:c r="I556" s="73" t="n">
        <x:f>MIN(Control!$B$6,MAX(1,INT(MAX(0,G556)/Control!$B$7)+1))</x:f>
        <x:v>3</x:v>
      </x:c>
      <x:c r="J556" s="73" t="n">
        <x:f>INDEX(Drivers!$H$8:$H$13,B556)</x:f>
        <x:v>1</x:v>
      </x:c>
      <x:c r="K556" s="73" t="n">
        <x:f>IF(J556=1,INDEX(TrackMap!$I$8:$I$141,H556),INDEX(TrackMap!$L$8:$L$141,H556))</x:f>
        <x:v>1419</x:v>
      </x:c>
      <x:c r="L556" s="73" t="str">
        <x:f>INDEX(TrackMap!$F$8:$F$141,H556)</x:f>
        <x:v>↓</x:v>
      </x:c>
      <x:c r="M556" s="87" t="n">
        <x:f>MAX(0,G556/Control!$B$17)</x:f>
        <x:v>0.4702430189903747</x:v>
      </x:c>
      <x:c r="N556" s="73" t="n">
        <x:f>IF(N550&gt;0,N550,IF(G556&gt;=Control!$B$17,A556,0))</x:f>
        <x:v>0</x:v>
      </x:c>
      <x:c r="O556" s="91" t="n">
        <x:f>IF(N556&gt;0,Control!$B$17+Control!$B$8+1-N556,G556)-B556/100000</x:f>
        <x:v>315.06279272355107</x:v>
      </x:c>
      <x:c r="P556" s="73" t="n">
        <x:f>COUNTIF($O$554:$O$559,"&gt;"&amp;O556)+1</x:f>
        <x:v>2</x:v>
      </x:c>
      <x:c r="Q556" s="83" t="n">
        <x:f>MAX($G$554:$G$559)-G556</x:f>
        <x:v>2.5459550383639566</x:v>
      </x:c>
      <x:c r="R556" s="73" t="str">
        <x:f>INDEX(TrackMap!$B$8:$B$141,H556)</x:f>
        <x:v>中段下行弯</x:v>
      </x:c>
    </x:row>
    <x:row r="557" ht="20" customHeight="1">
      <x:c r="A557" s="73" t="n">
        <x:v>91</x:v>
      </x:c>
      <x:c r="B557" s="73" t="n">
        <x:v>4</x:v>
      </x:c>
      <x:c r="C557" s="73" t="str">
        <x:f>INDEX(Drivers!$B$8:$B$13,B557)</x:f>
        <x:v>紫影</x:v>
      </x:c>
      <x:c r="D557" s="83" t="n">
        <x:f>G551</x:f>
        <x:v>309.0208092405603</x:v>
      </x:c>
      <x:c r="E557" s="83" t="str">
        <x:f>IF(A557=0,"GRID",IF(D557&gt;=Control!$B$17,"FINISHED",IF(AND(A557&gt;=INDEX(Drivers!$G$8:$G$13,B557),A557&lt;INDEX(Drivers!$G$8:$G$13,B557)+INDEX(Drivers!$J$8:$J$13,B557)),"PIT",IF(MOD(A557+INDEX(Drivers!$F$8:$F$13,B557),Control!$B$11)&lt;Control!$B$13,"BOOST","RACE"))))</x:f>
        <x:v>RACE</x:v>
      </x:c>
      <x:c r="F557" s="83" t="n">
        <x:f>IF(OR(E557="GRID",E557="FINISHED",E557="PIT"),0,MAX(Control!$B$15,(INDEX(Drivers!$D$8:$D$13,B557)+INDEX(Drivers!$E$8:$E$13,B557)*SIN((A557+INDEX(Drivers!$F$8:$F$13,B557)+Control!$B$16)*Control!$B$14))*INDEX(TrackMap!$M$8:$M$141,MOD(INT(D557)-1,Control!$B$7)+1)*IF(E557="BOOST",Control!$B$12,1)))</x:f>
        <x:v>3.0264347924301194</x:v>
      </x:c>
      <x:c r="G557" s="83" t="n">
        <x:f>IF(A557=0,D557,MIN(Control!$B$17,D557+F557))</x:f>
        <x:v>312.0472440329904</x:v>
      </x:c>
      <x:c r="H557" s="73" t="n">
        <x:f>MOD(INT(G557)-1,Control!$B$7)+1</x:f>
        <x:v>44</x:v>
      </x:c>
      <x:c r="I557" s="73" t="n">
        <x:f>MIN(Control!$B$6,MAX(1,INT(MAX(0,G557)/Control!$B$7)+1))</x:f>
        <x:v>3</x:v>
      </x:c>
      <x:c r="J557" s="73" t="n">
        <x:f>INDEX(Drivers!$H$8:$H$13,B557)</x:f>
        <x:v>2</x:v>
      </x:c>
      <x:c r="K557" s="73" t="n">
        <x:f>IF(J557=1,INDEX(TrackMap!$I$8:$I$141,H557),INDEX(TrackMap!$L$8:$L$141,H557))</x:f>
        <x:v>1120</x:v>
      </x:c>
      <x:c r="L557" s="73" t="str">
        <x:f>INDEX(TrackMap!$F$8:$F$141,H557)</x:f>
        <x:v>↓</x:v>
      </x:c>
      <x:c r="M557" s="87" t="n">
        <x:f>MAX(0,G557/Control!$B$17)</x:f>
        <x:v>0.46574215527312</x:v>
      </x:c>
      <x:c r="N557" s="73" t="n">
        <x:f>IF(N551&gt;0,N551,IF(G557&gt;=Control!$B$17,A557,0))</x:f>
        <x:v>0</x:v>
      </x:c>
      <x:c r="O557" s="91" t="n">
        <x:f>IF(N557&gt;0,Control!$B$17+Control!$B$8+1-N557,G557)-B557/100000</x:f>
        <x:v>312.0472040329904</x:v>
      </x:c>
      <x:c r="P557" s="73" t="n">
        <x:f>COUNTIF($O$554:$O$559,"&gt;"&amp;O557)+1</x:f>
        <x:v>5</x:v>
      </x:c>
      <x:c r="Q557" s="83" t="n">
        <x:f>MAX($G$554:$G$559)-G557</x:f>
        <x:v>5.561533728924587</x:v>
      </x:c>
      <x:c r="R557" s="73" t="str">
        <x:f>INDEX(TrackMap!$B$8:$B$141,H557)</x:f>
        <x:v>中段下行弯</x:v>
      </x:c>
    </x:row>
    <x:row r="558" ht="20" customHeight="1">
      <x:c r="A558" s="73" t="n">
        <x:v>91</x:v>
      </x:c>
      <x:c r="B558" s="73" t="n">
        <x:v>5</x:v>
      </x:c>
      <x:c r="C558" s="73" t="str">
        <x:f>INDEX(Drivers!$B$8:$B$13,B558)</x:f>
        <x:v>青锋</x:v>
      </x:c>
      <x:c r="D558" s="83" t="n">
        <x:f>G552</x:f>
        <x:v>311.49600346251475</x:v>
      </x:c>
      <x:c r="E558" s="83" t="str">
        <x:f>IF(A558=0,"GRID",IF(D558&gt;=Control!$B$17,"FINISHED",IF(AND(A558&gt;=INDEX(Drivers!$G$8:$G$13,B558),A558&lt;INDEX(Drivers!$G$8:$G$13,B558)+INDEX(Drivers!$J$8:$J$13,B558)),"PIT",IF(MOD(A558+INDEX(Drivers!$F$8:$F$13,B558),Control!$B$11)&lt;Control!$B$13,"BOOST","RACE"))))</x:f>
        <x:v>RACE</x:v>
      </x:c>
      <x:c r="F558" s="83" t="n">
        <x:f>IF(OR(E558="GRID",E558="FINISHED",E558="PIT"),0,MAX(Control!$B$15,(INDEX(Drivers!$D$8:$D$13,B558)+INDEX(Drivers!$E$8:$E$13,B558)*SIN((A558+INDEX(Drivers!$F$8:$F$13,B558)+Control!$B$16)*Control!$B$14))*INDEX(TrackMap!$M$8:$M$141,MOD(INT(D558)-1,Control!$B$7)+1)*IF(E558="BOOST",Control!$B$12,1)))</x:f>
        <x:v>3.0296540235528413</x:v>
      </x:c>
      <x:c r="G558" s="83" t="n">
        <x:f>IF(A558=0,D558,MIN(Control!$B$17,D558+F558))</x:f>
        <x:v>314.5256574860676</x:v>
      </x:c>
      <x:c r="H558" s="73" t="n">
        <x:f>MOD(INT(G558)-1,Control!$B$7)+1</x:f>
        <x:v>46</x:v>
      </x:c>
      <x:c r="I558" s="73" t="n">
        <x:f>MIN(Control!$B$6,MAX(1,INT(MAX(0,G558)/Control!$B$7)+1))</x:f>
        <x:v>3</x:v>
      </x:c>
      <x:c r="J558" s="73" t="n">
        <x:f>INDEX(Drivers!$H$8:$H$13,B558)</x:f>
        <x:v>1</x:v>
      </x:c>
      <x:c r="K558" s="73" t="n">
        <x:f>IF(J558=1,INDEX(TrackMap!$I$8:$I$141,H558),INDEX(TrackMap!$L$8:$L$141,H558))</x:f>
        <x:v>1319</x:v>
      </x:c>
      <x:c r="L558" s="73" t="str">
        <x:f>INDEX(TrackMap!$F$8:$F$141,H558)</x:f>
        <x:v>↓</x:v>
      </x:c>
      <x:c r="M558" s="87" t="n">
        <x:f>MAX(0,G558/Control!$B$17)</x:f>
        <x:v>0.4694412798299516</x:v>
      </x:c>
      <x:c r="N558" s="73" t="n">
        <x:f>IF(N552&gt;0,N552,IF(G558&gt;=Control!$B$17,A558,0))</x:f>
        <x:v>0</x:v>
      </x:c>
      <x:c r="O558" s="91" t="n">
        <x:f>IF(N558&gt;0,Control!$B$17+Control!$B$8+1-N558,G558)-B558/100000</x:f>
        <x:v>314.5256074860676</x:v>
      </x:c>
      <x:c r="P558" s="73" t="n">
        <x:f>COUNTIF($O$554:$O$559,"&gt;"&amp;O558)+1</x:f>
        <x:v>3</x:v>
      </x:c>
      <x:c r="Q558" s="83" t="n">
        <x:f>MAX($G$554:$G$559)-G558</x:f>
        <x:v>3.0831202758474205</x:v>
      </x:c>
      <x:c r="R558" s="73" t="str">
        <x:f>INDEX(TrackMap!$B$8:$B$141,H558)</x:f>
        <x:v>中段下行弯</x:v>
      </x:c>
    </x:row>
    <x:row r="559" ht="20" customHeight="1">
      <x:c r="A559" s="73" t="n">
        <x:v>91</x:v>
      </x:c>
      <x:c r="B559" s="73" t="n">
        <x:v>6</x:v>
      </x:c>
      <x:c r="C559" s="73" t="str">
        <x:f>INDEX(Drivers!$B$8:$B$13,B559)</x:f>
        <x:v>玫速</x:v>
      </x:c>
      <x:c r="D559" s="83" t="n">
        <x:f>G553</x:f>
        <x:v>309.0805491010766</x:v>
      </x:c>
      <x:c r="E559" s="83" t="str">
        <x:f>IF(A559=0,"GRID",IF(D559&gt;=Control!$B$17,"FINISHED",IF(AND(A559&gt;=INDEX(Drivers!$G$8:$G$13,B559),A559&lt;INDEX(Drivers!$G$8:$G$13,B559)+INDEX(Drivers!$J$8:$J$13,B559)),"PIT",IF(MOD(A559+INDEX(Drivers!$F$8:$F$13,B559),Control!$B$11)&lt;Control!$B$13,"BOOST","RACE"))))</x:f>
        <x:v>RACE</x:v>
      </x:c>
      <x:c r="F559" s="83" t="n">
        <x:f>IF(OR(E559="GRID",E559="FINISHED",E559="PIT"),0,MAX(Control!$B$15,(INDEX(Drivers!$D$8:$D$13,B559)+INDEX(Drivers!$E$8:$E$13,B559)*SIN((A559+INDEX(Drivers!$F$8:$F$13,B559)+Control!$B$16)*Control!$B$14))*INDEX(TrackMap!$M$8:$M$141,MOD(INT(D559)-1,Control!$B$7)+1)*IF(E559="BOOST",Control!$B$12,1)))</x:f>
        <x:v>2.461613141993844</x:v>
      </x:c>
      <x:c r="G559" s="83" t="n">
        <x:f>IF(A559=0,D559,MIN(Control!$B$17,D559+F559))</x:f>
        <x:v>311.54216224307044</x:v>
      </x:c>
      <x:c r="H559" s="73" t="n">
        <x:f>MOD(INT(G559)-1,Control!$B$7)+1</x:f>
        <x:v>43</x:v>
      </x:c>
      <x:c r="I559" s="73" t="n">
        <x:f>MIN(Control!$B$6,MAX(1,INT(MAX(0,G559)/Control!$B$7)+1))</x:f>
        <x:v>3</x:v>
      </x:c>
      <x:c r="J559" s="73" t="n">
        <x:f>INDEX(Drivers!$H$8:$H$13,B559)</x:f>
        <x:v>2</x:v>
      </x:c>
      <x:c r="K559" s="73" t="n">
        <x:f>IF(J559=1,INDEX(TrackMap!$I$8:$I$141,H559),INDEX(TrackMap!$L$8:$L$141,H559))</x:f>
        <x:v>1019</x:v>
      </x:c>
      <x:c r="L559" s="73" t="str">
        <x:f>INDEX(TrackMap!$F$8:$F$141,H559)</x:f>
        <x:v>↓</x:v>
      </x:c>
      <x:c r="M559" s="87" t="n">
        <x:f>MAX(0,G559/Control!$B$17)</x:f>
        <x:v>0.464988301855329</x:v>
      </x:c>
      <x:c r="N559" s="73" t="n">
        <x:f>IF(N553&gt;0,N553,IF(G559&gt;=Control!$B$17,A559,0))</x:f>
        <x:v>0</x:v>
      </x:c>
      <x:c r="O559" s="91" t="n">
        <x:f>IF(N559&gt;0,Control!$B$17+Control!$B$8+1-N559,G559)-B559/100000</x:f>
        <x:v>311.5421022430704</x:v>
      </x:c>
      <x:c r="P559" s="73" t="n">
        <x:f>COUNTIF($O$554:$O$559,"&gt;"&amp;O559)+1</x:f>
        <x:v>6</x:v>
      </x:c>
      <x:c r="Q559" s="83" t="n">
        <x:f>MAX($G$554:$G$559)-G559</x:f>
        <x:v>6.066615518844571</x:v>
      </x:c>
      <x:c r="R559" s="73" t="str">
        <x:f>INDEX(TrackMap!$B$8:$B$141,H559)</x:f>
        <x:v>西侧发卡弯</x:v>
      </x:c>
    </x:row>
    <x:row r="560" ht="20" customHeight="1">
      <x:c r="A560" s="73" t="n">
        <x:v>92</x:v>
      </x:c>
      <x:c r="B560" s="73" t="n">
        <x:v>1</x:v>
      </x:c>
      <x:c r="C560" s="73" t="str">
        <x:f>INDEX(Drivers!$B$8:$B$13,B560)</x:f>
        <x:v>赤焰</x:v>
      </x:c>
      <x:c r="D560" s="83" t="n">
        <x:f>G554</x:f>
        <x:v>317.608777761915</x:v>
      </x:c>
      <x:c r="E560" s="83" t="str">
        <x:f>IF(A560=0,"GRID",IF(D560&gt;=Control!$B$17,"FINISHED",IF(AND(A560&gt;=INDEX(Drivers!$G$8:$G$13,B560),A560&lt;INDEX(Drivers!$G$8:$G$13,B560)+INDEX(Drivers!$J$8:$J$13,B560)),"PIT",IF(MOD(A560+INDEX(Drivers!$F$8:$F$13,B560),Control!$B$11)&lt;Control!$B$13,"BOOST","RACE"))))</x:f>
        <x:v>BOOST</x:v>
      </x:c>
      <x:c r="F560" s="83" t="n">
        <x:f>IF(OR(E560="GRID",E560="FINISHED",E560="PIT"),0,MAX(Control!$B$15,(INDEX(Drivers!$D$8:$D$13,B560)+INDEX(Drivers!$E$8:$E$13,B560)*SIN((A560+INDEX(Drivers!$F$8:$F$13,B560)+Control!$B$16)*Control!$B$14))*INDEX(TrackMap!$M$8:$M$141,MOD(INT(D560)-1,Control!$B$7)+1)*IF(E560="BOOST",Control!$B$12,1)))</x:f>
        <x:v>5.66907547298967</x:v>
      </x:c>
      <x:c r="G560" s="83" t="n">
        <x:f>IF(A560=0,D560,MIN(Control!$B$17,D560+F560))</x:f>
        <x:v>323.2778532349047</x:v>
      </x:c>
      <x:c r="H560" s="73" t="n">
        <x:f>MOD(INT(G560)-1,Control!$B$7)+1</x:f>
        <x:v>55</x:v>
      </x:c>
      <x:c r="I560" s="73" t="n">
        <x:f>MIN(Control!$B$6,MAX(1,INT(MAX(0,G560)/Control!$B$7)+1))</x:f>
        <x:v>3</x:v>
      </x:c>
      <x:c r="J560" s="73" t="n">
        <x:f>INDEX(Drivers!$H$8:$H$13,B560)</x:f>
        <x:v>1</x:v>
      </x:c>
      <x:c r="K560" s="73" t="n">
        <x:f>IF(J560=1,INDEX(TrackMap!$I$8:$I$141,H560),INDEX(TrackMap!$L$8:$L$141,H560))</x:f>
        <x:v>1628</x:v>
      </x:c>
      <x:c r="L560" s="73" t="str">
        <x:f>INDEX(TrackMap!$F$8:$F$141,H560)</x:f>
        <x:v>→</x:v>
      </x:c>
      <x:c r="M560" s="87" t="n">
        <x:f>MAX(0,G560/Control!$B$17)</x:f>
        <x:v>0.48250425855955925</x:v>
      </x:c>
      <x:c r="N560" s="73" t="n">
        <x:f>IF(N554&gt;0,N554,IF(G560&gt;=Control!$B$17,A560,0))</x:f>
        <x:v>0</x:v>
      </x:c>
      <x:c r="O560" s="91" t="n">
        <x:f>IF(N560&gt;0,Control!$B$17+Control!$B$8+1-N560,G560)-B560/100000</x:f>
        <x:v>323.2778432349047</x:v>
      </x:c>
      <x:c r="P560" s="73" t="n">
        <x:f>COUNTIF($O$560:$O$565,"&gt;"&amp;O560)+1</x:f>
        <x:v>1</x:v>
      </x:c>
      <x:c r="Q560" s="83" t="n">
        <x:f>MAX($G$560:$G$565)-G560</x:f>
        <x:v>0</x:v>
      </x:c>
      <x:c r="R560" s="73" t="str">
        <x:f>INDEX(TrackMap!$B$8:$B$141,H560)</x:f>
        <x:v>中央高速直道</x:v>
      </x:c>
    </x:row>
    <x:row r="561" ht="20" customHeight="1">
      <x:c r="A561" s="73" t="n">
        <x:v>92</x:v>
      </x:c>
      <x:c r="B561" s="73" t="n">
        <x:v>2</x:v>
      </x:c>
      <x:c r="C561" s="73" t="str">
        <x:f>INDEX(Drivers!$B$8:$B$13,B561)</x:f>
        <x:v>蓝电</x:v>
      </x:c>
      <x:c r="D561" s="83" t="n">
        <x:f>G555</x:f>
        <x:v>313.594184450173</x:v>
      </x:c>
      <x:c r="E561" s="83" t="str">
        <x:f>IF(A561=0,"GRID",IF(D561&gt;=Control!$B$17,"FINISHED",IF(AND(A561&gt;=INDEX(Drivers!$G$8:$G$13,B561),A561&lt;INDEX(Drivers!$G$8:$G$13,B561)+INDEX(Drivers!$J$8:$J$13,B561)),"PIT",IF(MOD(A561+INDEX(Drivers!$F$8:$F$13,B561),Control!$B$11)&lt;Control!$B$13,"BOOST","RACE"))))</x:f>
        <x:v>RACE</x:v>
      </x:c>
      <x:c r="F561" s="83" t="n">
        <x:f>IF(OR(E561="GRID",E561="FINISHED",E561="PIT"),0,MAX(Control!$B$15,(INDEX(Drivers!$D$8:$D$13,B561)+INDEX(Drivers!$E$8:$E$13,B561)*SIN((A561+INDEX(Drivers!$F$8:$F$13,B561)+Control!$B$16)*Control!$B$14))*INDEX(TrackMap!$M$8:$M$141,MOD(INT(D561)-1,Control!$B$7)+1)*IF(E561="BOOST",Control!$B$12,1)))</x:f>
        <x:v>2.406539963708153</x:v>
      </x:c>
      <x:c r="G561" s="83" t="n">
        <x:f>IF(A561=0,D561,MIN(Control!$B$17,D561+F561))</x:f>
        <x:v>316.00072441388113</x:v>
      </x:c>
      <x:c r="H561" s="73" t="n">
        <x:f>MOD(INT(G561)-1,Control!$B$7)+1</x:f>
        <x:v>48</x:v>
      </x:c>
      <x:c r="I561" s="73" t="n">
        <x:f>MIN(Control!$B$6,MAX(1,INT(MAX(0,G561)/Control!$B$7)+1))</x:f>
        <x:v>3</x:v>
      </x:c>
      <x:c r="J561" s="73" t="n">
        <x:f>INDEX(Drivers!$H$8:$H$13,B561)</x:f>
        <x:v>2</x:v>
      </x:c>
      <x:c r="K561" s="73" t="n">
        <x:f>IF(J561=1,INDEX(TrackMap!$I$8:$I$141,H561),INDEX(TrackMap!$L$8:$L$141,H561))</x:f>
        <x:v>1521</x:v>
      </x:c>
      <x:c r="L561" s="73" t="str">
        <x:f>INDEX(TrackMap!$F$8:$F$141,H561)</x:f>
        <x:v>→</x:v>
      </x:c>
      <x:c r="M561" s="87" t="n">
        <x:f>MAX(0,G561/Control!$B$17)</x:f>
        <x:v>0.47164287225952406</x:v>
      </x:c>
      <x:c r="N561" s="73" t="n">
        <x:f>IF(N555&gt;0,N555,IF(G561&gt;=Control!$B$17,A561,0))</x:f>
        <x:v>0</x:v>
      </x:c>
      <x:c r="O561" s="91" t="n">
        <x:f>IF(N561&gt;0,Control!$B$17+Control!$B$8+1-N561,G561)-B561/100000</x:f>
        <x:v>316.0007044138811</x:v>
      </x:c>
      <x:c r="P561" s="73" t="n">
        <x:f>COUNTIF($O$560:$O$565,"&gt;"&amp;O561)+1</x:f>
        <x:v>4</x:v>
      </x:c>
      <x:c r="Q561" s="83" t="n">
        <x:f>MAX($G$560:$G$565)-G561</x:f>
        <x:v>7.2771288210235525</x:v>
      </x:c>
      <x:c r="R561" s="73" t="str">
        <x:f>INDEX(TrackMap!$B$8:$B$141,H561)</x:f>
        <x:v>中央高速直道</x:v>
      </x:c>
    </x:row>
    <x:row r="562" ht="20" customHeight="1">
      <x:c r="A562" s="73" t="n">
        <x:v>92</x:v>
      </x:c>
      <x:c r="B562" s="73" t="n">
        <x:v>3</x:v>
      </x:c>
      <x:c r="C562" s="73" t="str">
        <x:f>INDEX(Drivers!$B$8:$B$13,B562)</x:f>
        <x:v>金翼</x:v>
      </x:c>
      <x:c r="D562" s="83" t="n">
        <x:f>G556</x:f>
        <x:v>315.06282272355105</x:v>
      </x:c>
      <x:c r="E562" s="83" t="str">
        <x:f>IF(A562=0,"GRID",IF(D562&gt;=Control!$B$17,"FINISHED",IF(AND(A562&gt;=INDEX(Drivers!$G$8:$G$13,B562),A562&lt;INDEX(Drivers!$G$8:$G$13,B562)+INDEX(Drivers!$J$8:$J$13,B562)),"PIT",IF(MOD(A562+INDEX(Drivers!$F$8:$F$13,B562),Control!$B$11)&lt;Control!$B$13,"BOOST","RACE"))))</x:f>
        <x:v>RACE</x:v>
      </x:c>
      <x:c r="F562" s="83" t="n">
        <x:f>IF(OR(E562="GRID",E562="FINISHED",E562="PIT"),0,MAX(Control!$B$15,(INDEX(Drivers!$D$8:$D$13,B562)+INDEX(Drivers!$E$8:$E$13,B562)*SIN((A562+INDEX(Drivers!$F$8:$F$13,B562)+Control!$B$16)*Control!$B$14))*INDEX(TrackMap!$M$8:$M$141,MOD(INT(D562)-1,Control!$B$7)+1)*IF(E562="BOOST",Control!$B$12,1)))</x:f>
        <x:v>3.9028309382776682</x:v>
      </x:c>
      <x:c r="G562" s="83" t="n">
        <x:f>IF(A562=0,D562,MIN(Control!$B$17,D562+F562))</x:f>
        <x:v>318.9656536618287</x:v>
      </x:c>
      <x:c r="H562" s="73" t="n">
        <x:f>MOD(INT(G562)-1,Control!$B$7)+1</x:f>
        <x:v>50</x:v>
      </x:c>
      <x:c r="I562" s="73" t="n">
        <x:f>MIN(Control!$B$6,MAX(1,INT(MAX(0,G562)/Control!$B$7)+1))</x:f>
        <x:v>3</x:v>
      </x:c>
      <x:c r="J562" s="73" t="n">
        <x:f>INDEX(Drivers!$H$8:$H$13,B562)</x:f>
        <x:v>1</x:v>
      </x:c>
      <x:c r="K562" s="73" t="n">
        <x:f>IF(J562=1,INDEX(TrackMap!$I$8:$I$141,H562),INDEX(TrackMap!$L$8:$L$141,H562))</x:f>
        <x:v>1623</x:v>
      </x:c>
      <x:c r="L562" s="73" t="str">
        <x:f>INDEX(TrackMap!$F$8:$F$141,H562)</x:f>
        <x:v>→</x:v>
      </x:c>
      <x:c r="M562" s="87" t="n">
        <x:f>MAX(0,G562/Control!$B$17)</x:f>
        <x:v>0.47606813979377416</x:v>
      </x:c>
      <x:c r="N562" s="73" t="n">
        <x:f>IF(N556&gt;0,N556,IF(G562&gt;=Control!$B$17,A562,0))</x:f>
        <x:v>0</x:v>
      </x:c>
      <x:c r="O562" s="91" t="n">
        <x:f>IF(N562&gt;0,Control!$B$17+Control!$B$8+1-N562,G562)-B562/100000</x:f>
        <x:v>318.9656236618287</x:v>
      </x:c>
      <x:c r="P562" s="73" t="n">
        <x:f>COUNTIF($O$560:$O$565,"&gt;"&amp;O562)+1</x:f>
        <x:v>2</x:v>
      </x:c>
      <x:c r="Q562" s="83" t="n">
        <x:f>MAX($G$560:$G$565)-G562</x:f>
        <x:v>4.312199573075986</x:v>
      </x:c>
      <x:c r="R562" s="73" t="str">
        <x:f>INDEX(TrackMap!$B$8:$B$141,H562)</x:f>
        <x:v>中央高速直道</x:v>
      </x:c>
    </x:row>
    <x:row r="563" ht="20" customHeight="1">
      <x:c r="A563" s="73" t="n">
        <x:v>92</x:v>
      </x:c>
      <x:c r="B563" s="73" t="n">
        <x:v>4</x:v>
      </x:c>
      <x:c r="C563" s="73" t="str">
        <x:f>INDEX(Drivers!$B$8:$B$13,B563)</x:f>
        <x:v>紫影</x:v>
      </x:c>
      <x:c r="D563" s="83" t="n">
        <x:f>G557</x:f>
        <x:v>312.0472440329904</x:v>
      </x:c>
      <x:c r="E563" s="83" t="str">
        <x:f>IF(A563=0,"GRID",IF(D563&gt;=Control!$B$17,"FINISHED",IF(AND(A563&gt;=INDEX(Drivers!$G$8:$G$13,B563),A563&lt;INDEX(Drivers!$G$8:$G$13,B563)+INDEX(Drivers!$J$8:$J$13,B563)),"PIT",IF(MOD(A563+INDEX(Drivers!$F$8:$F$13,B563),Control!$B$11)&lt;Control!$B$13,"BOOST","RACE"))))</x:f>
        <x:v>RACE</x:v>
      </x:c>
      <x:c r="F563" s="83" t="n">
        <x:f>IF(OR(E563="GRID",E563="FINISHED",E563="PIT"),0,MAX(Control!$B$15,(INDEX(Drivers!$D$8:$D$13,B563)+INDEX(Drivers!$E$8:$E$13,B563)*SIN((A563+INDEX(Drivers!$F$8:$F$13,B563)+Control!$B$16)*Control!$B$14))*INDEX(TrackMap!$M$8:$M$141,MOD(INT(D563)-1,Control!$B$7)+1)*IF(E563="BOOST",Control!$B$12,1)))</x:f>
        <x:v>2.8683909363699143</x:v>
      </x:c>
      <x:c r="G563" s="83" t="n">
        <x:f>IF(A563=0,D563,MIN(Control!$B$17,D563+F563))</x:f>
        <x:v>314.9156349693603</x:v>
      </x:c>
      <x:c r="H563" s="73" t="n">
        <x:f>MOD(INT(G563)-1,Control!$B$7)+1</x:f>
        <x:v>46</x:v>
      </x:c>
      <x:c r="I563" s="73" t="n">
        <x:f>MIN(Control!$B$6,MAX(1,INT(MAX(0,G563)/Control!$B$7)+1))</x:f>
        <x:v>3</x:v>
      </x:c>
      <x:c r="J563" s="73" t="n">
        <x:f>INDEX(Drivers!$H$8:$H$13,B563)</x:f>
        <x:v>2</x:v>
      </x:c>
      <x:c r="K563" s="73" t="n">
        <x:f>IF(J563=1,INDEX(TrackMap!$I$8:$I$141,H563),INDEX(TrackMap!$L$8:$L$141,H563))</x:f>
        <x:v>1320</x:v>
      </x:c>
      <x:c r="L563" s="73" t="str">
        <x:f>INDEX(TrackMap!$F$8:$F$141,H563)</x:f>
        <x:v>↓</x:v>
      </x:c>
      <x:c r="M563" s="87" t="n">
        <x:f>MAX(0,G563/Control!$B$17)</x:f>
        <x:v>0.47002333577516464</x:v>
      </x:c>
      <x:c r="N563" s="73" t="n">
        <x:f>IF(N557&gt;0,N557,IF(G563&gt;=Control!$B$17,A563,0))</x:f>
        <x:v>0</x:v>
      </x:c>
      <x:c r="O563" s="91" t="n">
        <x:f>IF(N563&gt;0,Control!$B$17+Control!$B$8+1-N563,G563)-B563/100000</x:f>
        <x:v>314.9155949693603</x:v>
      </x:c>
      <x:c r="P563" s="73" t="n">
        <x:f>COUNTIF($O$560:$O$565,"&gt;"&amp;O563)+1</x:f>
        <x:v>5</x:v>
      </x:c>
      <x:c r="Q563" s="83" t="n">
        <x:f>MAX($G$560:$G$565)-G563</x:f>
        <x:v>8.362218265544357</x:v>
      </x:c>
      <x:c r="R563" s="73" t="str">
        <x:f>INDEX(TrackMap!$B$8:$B$141,H563)</x:f>
        <x:v>中段下行弯</x:v>
      </x:c>
    </x:row>
    <x:row r="564" ht="20" customHeight="1">
      <x:c r="A564" s="73" t="n">
        <x:v>92</x:v>
      </x:c>
      <x:c r="B564" s="73" t="n">
        <x:v>5</x:v>
      </x:c>
      <x:c r="C564" s="73" t="str">
        <x:f>INDEX(Drivers!$B$8:$B$13,B564)</x:f>
        <x:v>青锋</x:v>
      </x:c>
      <x:c r="D564" s="83" t="n">
        <x:f>G558</x:f>
        <x:v>314.5256574860676</x:v>
      </x:c>
      <x:c r="E564" s="83" t="str">
        <x:f>IF(A564=0,"GRID",IF(D564&gt;=Control!$B$17,"FINISHED",IF(AND(A564&gt;=INDEX(Drivers!$G$8:$G$13,B564),A564&lt;INDEX(Drivers!$G$8:$G$13,B564)+INDEX(Drivers!$J$8:$J$13,B564)),"PIT",IF(MOD(A564+INDEX(Drivers!$F$8:$F$13,B564),Control!$B$11)&lt;Control!$B$13,"BOOST","RACE"))))</x:f>
        <x:v>RACE</x:v>
      </x:c>
      <x:c r="F564" s="83" t="n">
        <x:f>IF(OR(E564="GRID",E564="FINISHED",E564="PIT"),0,MAX(Control!$B$15,(INDEX(Drivers!$D$8:$D$13,B564)+INDEX(Drivers!$E$8:$E$13,B564)*SIN((A564+INDEX(Drivers!$F$8:$F$13,B564)+Control!$B$16)*Control!$B$14))*INDEX(TrackMap!$M$8:$M$141,MOD(INT(D564)-1,Control!$B$7)+1)*IF(E564="BOOST",Control!$B$12,1)))</x:f>
        <x:v>3.7029251555900773</x:v>
      </x:c>
      <x:c r="G564" s="83" t="n">
        <x:f>IF(A564=0,D564,MIN(Control!$B$17,D564+F564))</x:f>
        <x:v>318.2285826416577</x:v>
      </x:c>
      <x:c r="H564" s="73" t="n">
        <x:f>MOD(INT(G564)-1,Control!$B$7)+1</x:f>
        <x:v>50</x:v>
      </x:c>
      <x:c r="I564" s="73" t="n">
        <x:f>MIN(Control!$B$6,MAX(1,INT(MAX(0,G564)/Control!$B$7)+1))</x:f>
        <x:v>3</x:v>
      </x:c>
      <x:c r="J564" s="73" t="n">
        <x:f>INDEX(Drivers!$H$8:$H$13,B564)</x:f>
        <x:v>1</x:v>
      </x:c>
      <x:c r="K564" s="73" t="n">
        <x:f>IF(J564=1,INDEX(TrackMap!$I$8:$I$141,H564),INDEX(TrackMap!$L$8:$L$141,H564))</x:f>
        <x:v>1623</x:v>
      </x:c>
      <x:c r="L564" s="73" t="str">
        <x:f>INDEX(TrackMap!$F$8:$F$141,H564)</x:f>
        <x:v>→</x:v>
      </x:c>
      <x:c r="M564" s="87" t="n">
        <x:f>MAX(0,G564/Control!$B$17)</x:f>
        <x:v>0.47496803379351893</x:v>
      </x:c>
      <x:c r="N564" s="73" t="n">
        <x:f>IF(N558&gt;0,N558,IF(G564&gt;=Control!$B$17,A564,0))</x:f>
        <x:v>0</x:v>
      </x:c>
      <x:c r="O564" s="91" t="n">
        <x:f>IF(N564&gt;0,Control!$B$17+Control!$B$8+1-N564,G564)-B564/100000</x:f>
        <x:v>318.2285326416577</x:v>
      </x:c>
      <x:c r="P564" s="73" t="n">
        <x:f>COUNTIF($O$560:$O$565,"&gt;"&amp;O564)+1</x:f>
        <x:v>3</x:v>
      </x:c>
      <x:c r="Q564" s="83" t="n">
        <x:f>MAX($G$560:$G$565)-G564</x:f>
        <x:v>5.049270593247002</x:v>
      </x:c>
      <x:c r="R564" s="73" t="str">
        <x:f>INDEX(TrackMap!$B$8:$B$141,H564)</x:f>
        <x:v>中央高速直道</x:v>
      </x:c>
    </x:row>
    <x:row r="565" ht="20" customHeight="1">
      <x:c r="A565" s="73" t="n">
        <x:v>92</x:v>
      </x:c>
      <x:c r="B565" s="73" t="n">
        <x:v>6</x:v>
      </x:c>
      <x:c r="C565" s="73" t="str">
        <x:f>INDEX(Drivers!$B$8:$B$13,B565)</x:f>
        <x:v>玫速</x:v>
      </x:c>
      <x:c r="D565" s="83" t="n">
        <x:f>G559</x:f>
        <x:v>311.54216224307044</x:v>
      </x:c>
      <x:c r="E565" s="83" t="str">
        <x:f>IF(A565=0,"GRID",IF(D565&gt;=Control!$B$17,"FINISHED",IF(AND(A565&gt;=INDEX(Drivers!$G$8:$G$13,B565),A565&lt;INDEX(Drivers!$G$8:$G$13,B565)+INDEX(Drivers!$J$8:$J$13,B565)),"PIT",IF(MOD(A565+INDEX(Drivers!$F$8:$F$13,B565),Control!$B$11)&lt;Control!$B$13,"BOOST","RACE"))))</x:f>
        <x:v>RACE</x:v>
      </x:c>
      <x:c r="F565" s="83" t="n">
        <x:f>IF(OR(E565="GRID",E565="FINISHED",E565="PIT"),0,MAX(Control!$B$15,(INDEX(Drivers!$D$8:$D$13,B565)+INDEX(Drivers!$E$8:$E$13,B565)*SIN((A565+INDEX(Drivers!$F$8:$F$13,B565)+Control!$B$16)*Control!$B$14))*INDEX(TrackMap!$M$8:$M$141,MOD(INT(D565)-1,Control!$B$7)+1)*IF(E565="BOOST",Control!$B$12,1)))</x:f>
        <x:v>2.5716722448261513</x:v>
      </x:c>
      <x:c r="G565" s="83" t="n">
        <x:f>IF(A565=0,D565,MIN(Control!$B$17,D565+F565))</x:f>
        <x:v>314.1138344878966</x:v>
      </x:c>
      <x:c r="H565" s="73" t="n">
        <x:f>MOD(INT(G565)-1,Control!$B$7)+1</x:f>
        <x:v>46</x:v>
      </x:c>
      <x:c r="I565" s="73" t="n">
        <x:f>MIN(Control!$B$6,MAX(1,INT(MAX(0,G565)/Control!$B$7)+1))</x:f>
        <x:v>3</x:v>
      </x:c>
      <x:c r="J565" s="73" t="n">
        <x:f>INDEX(Drivers!$H$8:$H$13,B565)</x:f>
        <x:v>2</x:v>
      </x:c>
      <x:c r="K565" s="73" t="n">
        <x:f>IF(J565=1,INDEX(TrackMap!$I$8:$I$141,H565),INDEX(TrackMap!$L$8:$L$141,H565))</x:f>
        <x:v>1320</x:v>
      </x:c>
      <x:c r="L565" s="73" t="str">
        <x:f>INDEX(TrackMap!$F$8:$F$141,H565)</x:f>
        <x:v>↓</x:v>
      </x:c>
      <x:c r="M565" s="87" t="n">
        <x:f>MAX(0,G565/Control!$B$17)</x:f>
        <x:v>0.46882661863865166</x:v>
      </x:c>
      <x:c r="N565" s="73" t="n">
        <x:f>IF(N559&gt;0,N559,IF(G565&gt;=Control!$B$17,A565,0))</x:f>
        <x:v>0</x:v>
      </x:c>
      <x:c r="O565" s="91" t="n">
        <x:f>IF(N565&gt;0,Control!$B$17+Control!$B$8+1-N565,G565)-B565/100000</x:f>
        <x:v>314.1137744878966</x:v>
      </x:c>
      <x:c r="P565" s="73" t="n">
        <x:f>COUNTIF($O$560:$O$565,"&gt;"&amp;O565)+1</x:f>
        <x:v>6</x:v>
      </x:c>
      <x:c r="Q565" s="83" t="n">
        <x:f>MAX($G$560:$G$565)-G565</x:f>
        <x:v>9.164018747008072</x:v>
      </x:c>
      <x:c r="R565" s="73" t="str">
        <x:f>INDEX(TrackMap!$B$8:$B$141,H565)</x:f>
        <x:v>中段下行弯</x:v>
      </x:c>
    </x:row>
    <x:row r="566" ht="20" customHeight="1">
      <x:c r="A566" s="73" t="n">
        <x:v>93</x:v>
      </x:c>
      <x:c r="B566" s="73" t="n">
        <x:v>1</x:v>
      </x:c>
      <x:c r="C566" s="73" t="str">
        <x:f>INDEX(Drivers!$B$8:$B$13,B566)</x:f>
        <x:v>赤焰</x:v>
      </x:c>
      <x:c r="D566" s="83" t="n">
        <x:f>G560</x:f>
        <x:v>323.2778532349047</x:v>
      </x:c>
      <x:c r="E566" s="83" t="str">
        <x:f>IF(A566=0,"GRID",IF(D566&gt;=Control!$B$17,"FINISHED",IF(AND(A566&gt;=INDEX(Drivers!$G$8:$G$13,B566),A566&lt;INDEX(Drivers!$G$8:$G$13,B566)+INDEX(Drivers!$J$8:$J$13,B566)),"PIT",IF(MOD(A566+INDEX(Drivers!$F$8:$F$13,B566),Control!$B$11)&lt;Control!$B$13,"BOOST","RACE"))))</x:f>
        <x:v>BOOST</x:v>
      </x:c>
      <x:c r="F566" s="83" t="n">
        <x:f>IF(OR(E566="GRID",E566="FINISHED",E566="PIT"),0,MAX(Control!$B$15,(INDEX(Drivers!$D$8:$D$13,B566)+INDEX(Drivers!$E$8:$E$13,B566)*SIN((A566+INDEX(Drivers!$F$8:$F$13,B566)+Control!$B$16)*Control!$B$14))*INDEX(TrackMap!$M$8:$M$141,MOD(INT(D566)-1,Control!$B$7)+1)*IF(E566="BOOST",Control!$B$12,1)))</x:f>
        <x:v>5.632285846589112</x:v>
      </x:c>
      <x:c r="G566" s="83" t="n">
        <x:f>IF(A566=0,D566,MIN(Control!$B$17,D566+F566))</x:f>
        <x:v>328.9101390814938</x:v>
      </x:c>
      <x:c r="H566" s="73" t="n">
        <x:f>MOD(INT(G566)-1,Control!$B$7)+1</x:f>
        <x:v>60</x:v>
      </x:c>
      <x:c r="I566" s="73" t="n">
        <x:f>MIN(Control!$B$6,MAX(1,INT(MAX(0,G566)/Control!$B$7)+1))</x:f>
        <x:v>3</x:v>
      </x:c>
      <x:c r="J566" s="73" t="n">
        <x:f>INDEX(Drivers!$H$8:$H$13,B566)</x:f>
        <x:v>1</x:v>
      </x:c>
      <x:c r="K566" s="73" t="n">
        <x:f>IF(J566=1,INDEX(TrackMap!$I$8:$I$141,H566),INDEX(TrackMap!$L$8:$L$141,H566))</x:f>
        <x:v>1633</x:v>
      </x:c>
      <x:c r="L566" s="73" t="str">
        <x:f>INDEX(TrackMap!$F$8:$F$141,H566)</x:f>
        <x:v>→</x:v>
      </x:c>
      <x:c r="M566" s="87" t="n">
        <x:f>MAX(0,G566/Control!$B$17)</x:f>
        <x:v>0.49091065534551315</x:v>
      </x:c>
      <x:c r="N566" s="73" t="n">
        <x:f>IF(N560&gt;0,N560,IF(G566&gt;=Control!$B$17,A566,0))</x:f>
        <x:v>0</x:v>
      </x:c>
      <x:c r="O566" s="91" t="n">
        <x:f>IF(N566&gt;0,Control!$B$17+Control!$B$8+1-N566,G566)-B566/100000</x:f>
        <x:v>328.91012908149384</x:v>
      </x:c>
      <x:c r="P566" s="73" t="n">
        <x:f>COUNTIF($O$566:$O$571,"&gt;"&amp;O566)+1</x:f>
        <x:v>1</x:v>
      </x:c>
      <x:c r="Q566" s="83" t="n">
        <x:f>MAX($G$566:$G$571)-G566</x:f>
        <x:v>0</x:v>
      </x:c>
      <x:c r="R566" s="73" t="str">
        <x:f>INDEX(TrackMap!$B$8:$B$141,H566)</x:f>
        <x:v>中央高速直道</x:v>
      </x:c>
    </x:row>
    <x:row r="567" ht="20" customHeight="1">
      <x:c r="A567" s="73" t="n">
        <x:v>93</x:v>
      </x:c>
      <x:c r="B567" s="73" t="n">
        <x:v>2</x:v>
      </x:c>
      <x:c r="C567" s="73" t="str">
        <x:f>INDEX(Drivers!$B$8:$B$13,B567)</x:f>
        <x:v>蓝电</x:v>
      </x:c>
      <x:c r="D567" s="83" t="n">
        <x:f>G561</x:f>
        <x:v>316.00072441388113</x:v>
      </x:c>
      <x:c r="E567" s="83" t="str">
        <x:f>IF(A567=0,"GRID",IF(D567&gt;=Control!$B$17,"FINISHED",IF(AND(A567&gt;=INDEX(Drivers!$G$8:$G$13,B567),A567&lt;INDEX(Drivers!$G$8:$G$13,B567)+INDEX(Drivers!$J$8:$J$13,B567)),"PIT",IF(MOD(A567+INDEX(Drivers!$F$8:$F$13,B567),Control!$B$11)&lt;Control!$B$13,"BOOST","RACE"))))</x:f>
        <x:v>RACE</x:v>
      </x:c>
      <x:c r="F567" s="83" t="n">
        <x:f>IF(OR(E567="GRID",E567="FINISHED",E567="PIT"),0,MAX(Control!$B$15,(INDEX(Drivers!$D$8:$D$13,B567)+INDEX(Drivers!$E$8:$E$13,B567)*SIN((A567+INDEX(Drivers!$F$8:$F$13,B567)+Control!$B$16)*Control!$B$14))*INDEX(TrackMap!$M$8:$M$141,MOD(INT(D567)-1,Control!$B$7)+1)*IF(E567="BOOST",Control!$B$12,1)))</x:f>
        <x:v>2.9960061132759037</x:v>
      </x:c>
      <x:c r="G567" s="83" t="n">
        <x:f>IF(A567=0,D567,MIN(Control!$B$17,D567+F567))</x:f>
        <x:v>318.996730527157</x:v>
      </x:c>
      <x:c r="H567" s="73" t="n">
        <x:f>MOD(INT(G567)-1,Control!$B$7)+1</x:f>
        <x:v>50</x:v>
      </x:c>
      <x:c r="I567" s="73" t="n">
        <x:f>MIN(Control!$B$6,MAX(1,INT(MAX(0,G567)/Control!$B$7)+1))</x:f>
        <x:v>3</x:v>
      </x:c>
      <x:c r="J567" s="73" t="n">
        <x:f>INDEX(Drivers!$H$8:$H$13,B567)</x:f>
        <x:v>2</x:v>
      </x:c>
      <x:c r="K567" s="73" t="n">
        <x:f>IF(J567=1,INDEX(TrackMap!$I$8:$I$141,H567),INDEX(TrackMap!$L$8:$L$141,H567))</x:f>
        <x:v>1523</x:v>
      </x:c>
      <x:c r="L567" s="73" t="str">
        <x:f>INDEX(TrackMap!$F$8:$F$141,H567)</x:f>
        <x:v>→</x:v>
      </x:c>
      <x:c r="M567" s="87" t="n">
        <x:f>MAX(0,G567/Control!$B$17)</x:f>
        <x:v>0.4761145231748612</x:v>
      </x:c>
      <x:c r="N567" s="73" t="n">
        <x:f>IF(N561&gt;0,N561,IF(G567&gt;=Control!$B$17,A567,0))</x:f>
        <x:v>0</x:v>
      </x:c>
      <x:c r="O567" s="91" t="n">
        <x:f>IF(N567&gt;0,Control!$B$17+Control!$B$8+1-N567,G567)-B567/100000</x:f>
        <x:v>318.996710527157</x:v>
      </x:c>
      <x:c r="P567" s="73" t="n">
        <x:f>COUNTIF($O$566:$O$571,"&gt;"&amp;O567)+1</x:f>
        <x:v>4</x:v>
      </x:c>
      <x:c r="Q567" s="83" t="n">
        <x:f>MAX($G$566:$G$571)-G567</x:f>
        <x:v>9.913408554336797</x:v>
      </x:c>
      <x:c r="R567" s="73" t="str">
        <x:f>INDEX(TrackMap!$B$8:$B$141,H567)</x:f>
        <x:v>中央高速直道</x:v>
      </x:c>
    </x:row>
    <x:row r="568" ht="20" customHeight="1">
      <x:c r="A568" s="73" t="n">
        <x:v>93</x:v>
      </x:c>
      <x:c r="B568" s="73" t="n">
        <x:v>3</x:v>
      </x:c>
      <x:c r="C568" s="73" t="str">
        <x:f>INDEX(Drivers!$B$8:$B$13,B568)</x:f>
        <x:v>金翼</x:v>
      </x:c>
      <x:c r="D568" s="83" t="n">
        <x:f>G562</x:f>
        <x:v>318.9656536618287</x:v>
      </x:c>
      <x:c r="E568" s="83" t="str">
        <x:f>IF(A568=0,"GRID",IF(D568&gt;=Control!$B$17,"FINISHED",IF(AND(A568&gt;=INDEX(Drivers!$G$8:$G$13,B568),A568&lt;INDEX(Drivers!$G$8:$G$13,B568)+INDEX(Drivers!$J$8:$J$13,B568)),"PIT",IF(MOD(A568+INDEX(Drivers!$F$8:$F$13,B568),Control!$B$11)&lt;Control!$B$13,"BOOST","RACE"))))</x:f>
        <x:v>RACE</x:v>
      </x:c>
      <x:c r="F568" s="83" t="n">
        <x:f>IF(OR(E568="GRID",E568="FINISHED",E568="PIT"),0,MAX(Control!$B$15,(INDEX(Drivers!$D$8:$D$13,B568)+INDEX(Drivers!$E$8:$E$13,B568)*SIN((A568+INDEX(Drivers!$F$8:$F$13,B568)+Control!$B$16)*Control!$B$14))*INDEX(TrackMap!$M$8:$M$141,MOD(INT(D568)-1,Control!$B$7)+1)*IF(E568="BOOST",Control!$B$12,1)))</x:f>
        <x:v>4.054367280580627</x:v>
      </x:c>
      <x:c r="G568" s="83" t="n">
        <x:f>IF(A568=0,D568,MIN(Control!$B$17,D568+F568))</x:f>
        <x:v>323.0200209424093</x:v>
      </x:c>
      <x:c r="H568" s="73" t="n">
        <x:f>MOD(INT(G568)-1,Control!$B$7)+1</x:f>
        <x:v>55</x:v>
      </x:c>
      <x:c r="I568" s="73" t="n">
        <x:f>MIN(Control!$B$6,MAX(1,INT(MAX(0,G568)/Control!$B$7)+1))</x:f>
        <x:v>3</x:v>
      </x:c>
      <x:c r="J568" s="73" t="n">
        <x:f>INDEX(Drivers!$H$8:$H$13,B568)</x:f>
        <x:v>1</x:v>
      </x:c>
      <x:c r="K568" s="73" t="n">
        <x:f>IF(J568=1,INDEX(TrackMap!$I$8:$I$141,H568),INDEX(TrackMap!$L$8:$L$141,H568))</x:f>
        <x:v>1628</x:v>
      </x:c>
      <x:c r="L568" s="73" t="str">
        <x:f>INDEX(TrackMap!$F$8:$F$141,H568)</x:f>
        <x:v>→</x:v>
      </x:c>
      <x:c r="M568" s="87" t="n">
        <x:f>MAX(0,G568/Control!$B$17)</x:f>
        <x:v>0.48211943424240195</x:v>
      </x:c>
      <x:c r="N568" s="73" t="n">
        <x:f>IF(N562&gt;0,N562,IF(G568&gt;=Control!$B$17,A568,0))</x:f>
        <x:v>0</x:v>
      </x:c>
      <x:c r="O568" s="91" t="n">
        <x:f>IF(N568&gt;0,Control!$B$17+Control!$B$8+1-N568,G568)-B568/100000</x:f>
        <x:v>323.0199909424093</x:v>
      </x:c>
      <x:c r="P568" s="73" t="n">
        <x:f>COUNTIF($O$566:$O$571,"&gt;"&amp;O568)+1</x:f>
        <x:v>2</x:v>
      </x:c>
      <x:c r="Q568" s="83" t="n">
        <x:f>MAX($G$566:$G$571)-G568</x:f>
        <x:v>5.890118139084507</x:v>
      </x:c>
      <x:c r="R568" s="73" t="str">
        <x:f>INDEX(TrackMap!$B$8:$B$141,H568)</x:f>
        <x:v>中央高速直道</x:v>
      </x:c>
    </x:row>
    <x:row r="569" ht="20" customHeight="1">
      <x:c r="A569" s="73" t="n">
        <x:v>93</x:v>
      </x:c>
      <x:c r="B569" s="73" t="n">
        <x:v>4</x:v>
      </x:c>
      <x:c r="C569" s="73" t="str">
        <x:f>INDEX(Drivers!$B$8:$B$13,B569)</x:f>
        <x:v>紫影</x:v>
      </x:c>
      <x:c r="D569" s="83" t="n">
        <x:f>G563</x:f>
        <x:v>314.9156349693603</x:v>
      </x:c>
      <x:c r="E569" s="83" t="str">
        <x:f>IF(A569=0,"GRID",IF(D569&gt;=Control!$B$17,"FINISHED",IF(AND(A569&gt;=INDEX(Drivers!$G$8:$G$13,B569),A569&lt;INDEX(Drivers!$G$8:$G$13,B569)+INDEX(Drivers!$J$8:$J$13,B569)),"PIT",IF(MOD(A569+INDEX(Drivers!$F$8:$F$13,B569),Control!$B$11)&lt;Control!$B$13,"BOOST","RACE"))))</x:f>
        <x:v>RACE</x:v>
      </x:c>
      <x:c r="F569" s="83" t="n">
        <x:f>IF(OR(E569="GRID",E569="FINISHED",E569="PIT"),0,MAX(Control!$B$15,(INDEX(Drivers!$D$8:$D$13,B569)+INDEX(Drivers!$E$8:$E$13,B569)*SIN((A569+INDEX(Drivers!$F$8:$F$13,B569)+Control!$B$16)*Control!$B$14))*INDEX(TrackMap!$M$8:$M$141,MOD(INT(D569)-1,Control!$B$7)+1)*IF(E569="BOOST",Control!$B$12,1)))</x:f>
        <x:v>3.4643249363829915</x:v>
      </x:c>
      <x:c r="G569" s="83" t="n">
        <x:f>IF(A569=0,D569,MIN(Control!$B$17,D569+F569))</x:f>
        <x:v>318.3799599057433</x:v>
      </x:c>
      <x:c r="H569" s="73" t="n">
        <x:f>MOD(INT(G569)-1,Control!$B$7)+1</x:f>
        <x:v>50</x:v>
      </x:c>
      <x:c r="I569" s="73" t="n">
        <x:f>MIN(Control!$B$6,MAX(1,INT(MAX(0,G569)/Control!$B$7)+1))</x:f>
        <x:v>3</x:v>
      </x:c>
      <x:c r="J569" s="73" t="n">
        <x:f>INDEX(Drivers!$H$8:$H$13,B569)</x:f>
        <x:v>2</x:v>
      </x:c>
      <x:c r="K569" s="73" t="n">
        <x:f>IF(J569=1,INDEX(TrackMap!$I$8:$I$141,H569),INDEX(TrackMap!$L$8:$L$141,H569))</x:f>
        <x:v>1523</x:v>
      </x:c>
      <x:c r="L569" s="73" t="str">
        <x:f>INDEX(TrackMap!$F$8:$F$141,H569)</x:f>
        <x:v>→</x:v>
      </x:c>
      <x:c r="M569" s="87" t="n">
        <x:f>MAX(0,G569/Control!$B$17)</x:f>
        <x:v>0.4751939700085721</x:v>
      </x:c>
      <x:c r="N569" s="73" t="n">
        <x:f>IF(N563&gt;0,N563,IF(G569&gt;=Control!$B$17,A569,0))</x:f>
        <x:v>0</x:v>
      </x:c>
      <x:c r="O569" s="91" t="n">
        <x:f>IF(N569&gt;0,Control!$B$17+Control!$B$8+1-N569,G569)-B569/100000</x:f>
        <x:v>318.3799199057433</x:v>
      </x:c>
      <x:c r="P569" s="73" t="n">
        <x:f>COUNTIF($O$566:$O$571,"&gt;"&amp;O569)+1</x:f>
        <x:v>5</x:v>
      </x:c>
      <x:c r="Q569" s="83" t="n">
        <x:f>MAX($G$566:$G$571)-G569</x:f>
        <x:v>10.530179175750504</x:v>
      </x:c>
      <x:c r="R569" s="73" t="str">
        <x:f>INDEX(TrackMap!$B$8:$B$141,H569)</x:f>
        <x:v>中央高速直道</x:v>
      </x:c>
    </x:row>
    <x:row r="570" ht="20" customHeight="1">
      <x:c r="A570" s="73" t="n">
        <x:v>93</x:v>
      </x:c>
      <x:c r="B570" s="73" t="n">
        <x:v>5</x:v>
      </x:c>
      <x:c r="C570" s="73" t="str">
        <x:f>INDEX(Drivers!$B$8:$B$13,B570)</x:f>
        <x:v>青锋</x:v>
      </x:c>
      <x:c r="D570" s="83" t="n">
        <x:f>G564</x:f>
        <x:v>318.2285826416577</x:v>
      </x:c>
      <x:c r="E570" s="83" t="str">
        <x:f>IF(A570=0,"GRID",IF(D570&gt;=Control!$B$17,"FINISHED",IF(AND(A570&gt;=INDEX(Drivers!$G$8:$G$13,B570),A570&lt;INDEX(Drivers!$G$8:$G$13,B570)+INDEX(Drivers!$J$8:$J$13,B570)),"PIT",IF(MOD(A570+INDEX(Drivers!$F$8:$F$13,B570),Control!$B$11)&lt;Control!$B$13,"BOOST","RACE"))))</x:f>
        <x:v>RACE</x:v>
      </x:c>
      <x:c r="F570" s="83" t="n">
        <x:f>IF(OR(E570="GRID",E570="FINISHED",E570="PIT"),0,MAX(Control!$B$15,(INDEX(Drivers!$D$8:$D$13,B570)+INDEX(Drivers!$E$8:$E$13,B570)*SIN((A570+INDEX(Drivers!$F$8:$F$13,B570)+Control!$B$16)*Control!$B$14))*INDEX(TrackMap!$M$8:$M$141,MOD(INT(D570)-1,Control!$B$7)+1)*IF(E570="BOOST",Control!$B$12,1)))</x:f>
        <x:v>3.5118084084106655</x:v>
      </x:c>
      <x:c r="G570" s="83" t="n">
        <x:f>IF(A570=0,D570,MIN(Control!$B$17,D570+F570))</x:f>
        <x:v>321.74039105006835</x:v>
      </x:c>
      <x:c r="H570" s="73" t="n">
        <x:f>MOD(INT(G570)-1,Control!$B$7)+1</x:f>
        <x:v>53</x:v>
      </x:c>
      <x:c r="I570" s="73" t="n">
        <x:f>MIN(Control!$B$6,MAX(1,INT(MAX(0,G570)/Control!$B$7)+1))</x:f>
        <x:v>3</x:v>
      </x:c>
      <x:c r="J570" s="73" t="n">
        <x:f>INDEX(Drivers!$H$8:$H$13,B570)</x:f>
        <x:v>1</x:v>
      </x:c>
      <x:c r="K570" s="73" t="n">
        <x:f>IF(J570=1,INDEX(TrackMap!$I$8:$I$141,H570),INDEX(TrackMap!$L$8:$L$141,H570))</x:f>
        <x:v>1626</x:v>
      </x:c>
      <x:c r="L570" s="73" t="str">
        <x:f>INDEX(TrackMap!$F$8:$F$141,H570)</x:f>
        <x:v>→</x:v>
      </x:c>
      <x:c r="M570" s="87" t="n">
        <x:f>MAX(0,G570/Control!$B$17)</x:f>
        <x:v>0.48020953888069906</x:v>
      </x:c>
      <x:c r="N570" s="73" t="n">
        <x:f>IF(N564&gt;0,N564,IF(G570&gt;=Control!$B$17,A570,0))</x:f>
        <x:v>0</x:v>
      </x:c>
      <x:c r="O570" s="91" t="n">
        <x:f>IF(N570&gt;0,Control!$B$17+Control!$B$8+1-N570,G570)-B570/100000</x:f>
        <x:v>321.74034105006837</x:v>
      </x:c>
      <x:c r="P570" s="73" t="n">
        <x:f>COUNTIF($O$566:$O$571,"&gt;"&amp;O570)+1</x:f>
        <x:v>3</x:v>
      </x:c>
      <x:c r="Q570" s="83" t="n">
        <x:f>MAX($G$566:$G$571)-G570</x:f>
        <x:v>7.169748031425456</x:v>
      </x:c>
      <x:c r="R570" s="73" t="str">
        <x:f>INDEX(TrackMap!$B$8:$B$141,H570)</x:f>
        <x:v>中央高速直道</x:v>
      </x:c>
    </x:row>
    <x:row r="571" ht="20" customHeight="1">
      <x:c r="A571" s="73" t="n">
        <x:v>93</x:v>
      </x:c>
      <x:c r="B571" s="73" t="n">
        <x:v>6</x:v>
      </x:c>
      <x:c r="C571" s="73" t="str">
        <x:f>INDEX(Drivers!$B$8:$B$13,B571)</x:f>
        <x:v>玫速</x:v>
      </x:c>
      <x:c r="D571" s="83" t="n">
        <x:f>G565</x:f>
        <x:v>314.1138344878966</x:v>
      </x:c>
      <x:c r="E571" s="83" t="str">
        <x:f>IF(A571=0,"GRID",IF(D571&gt;=Control!$B$17,"FINISHED",IF(AND(A571&gt;=INDEX(Drivers!$G$8:$G$13,B571),A571&lt;INDEX(Drivers!$G$8:$G$13,B571)+INDEX(Drivers!$J$8:$J$13,B571)),"PIT",IF(MOD(A571+INDEX(Drivers!$F$8:$F$13,B571),Control!$B$11)&lt;Control!$B$13,"BOOST","RACE"))))</x:f>
        <x:v>RACE</x:v>
      </x:c>
      <x:c r="F571" s="83" t="n">
        <x:f>IF(OR(E571="GRID",E571="FINISHED",E571="PIT"),0,MAX(Control!$B$15,(INDEX(Drivers!$D$8:$D$13,B571)+INDEX(Drivers!$E$8:$E$13,B571)*SIN((A571+INDEX(Drivers!$F$8:$F$13,B571)+Control!$B$16)*Control!$B$14))*INDEX(TrackMap!$M$8:$M$141,MOD(INT(D571)-1,Control!$B$7)+1)*IF(E571="BOOST",Control!$B$12,1)))</x:f>
        <x:v>3.4899522409307537</x:v>
      </x:c>
      <x:c r="G571" s="83" t="n">
        <x:f>IF(A571=0,D571,MIN(Control!$B$17,D571+F571))</x:f>
        <x:v>317.60378672882734</x:v>
      </x:c>
      <x:c r="H571" s="73" t="n">
        <x:f>MOD(INT(G571)-1,Control!$B$7)+1</x:f>
        <x:v>49</x:v>
      </x:c>
      <x:c r="I571" s="73" t="n">
        <x:f>MIN(Control!$B$6,MAX(1,INT(MAX(0,G571)/Control!$B$7)+1))</x:f>
        <x:v>3</x:v>
      </x:c>
      <x:c r="J571" s="73" t="n">
        <x:f>INDEX(Drivers!$H$8:$H$13,B571)</x:f>
        <x:v>2</x:v>
      </x:c>
      <x:c r="K571" s="73" t="n">
        <x:f>IF(J571=1,INDEX(TrackMap!$I$8:$I$141,H571),INDEX(TrackMap!$L$8:$L$141,H571))</x:f>
        <x:v>1522</x:v>
      </x:c>
      <x:c r="L571" s="73" t="str">
        <x:f>INDEX(TrackMap!$F$8:$F$141,H571)</x:f>
        <x:v>→</x:v>
      </x:c>
      <x:c r="M571" s="87" t="n">
        <x:f>MAX(0,G571/Control!$B$17)</x:f>
        <x:v>0.47403550258033933</x:v>
      </x:c>
      <x:c r="N571" s="73" t="n">
        <x:f>IF(N565&gt;0,N565,IF(G571&gt;=Control!$B$17,A571,0))</x:f>
        <x:v>0</x:v>
      </x:c>
      <x:c r="O571" s="91" t="n">
        <x:f>IF(N571&gt;0,Control!$B$17+Control!$B$8+1-N571,G571)-B571/100000</x:f>
        <x:v>317.6037267288273</x:v>
      </x:c>
      <x:c r="P571" s="73" t="n">
        <x:f>COUNTIF($O$566:$O$571,"&gt;"&amp;O571)+1</x:f>
        <x:v>6</x:v>
      </x:c>
      <x:c r="Q571" s="83" t="n">
        <x:f>MAX($G$566:$G$571)-G571</x:f>
        <x:v>11.306352352666465</x:v>
      </x:c>
      <x:c r="R571" s="73" t="str">
        <x:f>INDEX(TrackMap!$B$8:$B$141,H571)</x:f>
        <x:v>中央高速直道</x:v>
      </x:c>
    </x:row>
    <x:row r="572" ht="20" customHeight="1">
      <x:c r="A572" s="73" t="n">
        <x:v>94</x:v>
      </x:c>
      <x:c r="B572" s="73" t="n">
        <x:v>1</x:v>
      </x:c>
      <x:c r="C572" s="73" t="str">
        <x:f>INDEX(Drivers!$B$8:$B$13,B572)</x:f>
        <x:v>赤焰</x:v>
      </x:c>
      <x:c r="D572" s="83" t="n">
        <x:f>G566</x:f>
        <x:v>328.9101390814938</x:v>
      </x:c>
      <x:c r="E572" s="83" t="str">
        <x:f>IF(A572=0,"GRID",IF(D572&gt;=Control!$B$17,"FINISHED",IF(AND(A572&gt;=INDEX(Drivers!$G$8:$G$13,B572),A572&lt;INDEX(Drivers!$G$8:$G$13,B572)+INDEX(Drivers!$J$8:$J$13,B572)),"PIT",IF(MOD(A572+INDEX(Drivers!$F$8:$F$13,B572),Control!$B$11)&lt;Control!$B$13,"BOOST","RACE"))))</x:f>
        <x:v>BOOST</x:v>
      </x:c>
      <x:c r="F572" s="83" t="n">
        <x:f>IF(OR(E572="GRID",E572="FINISHED",E572="PIT"),0,MAX(Control!$B$15,(INDEX(Drivers!$D$8:$D$13,B572)+INDEX(Drivers!$E$8:$E$13,B572)*SIN((A572+INDEX(Drivers!$F$8:$F$13,B572)+Control!$B$16)*Control!$B$14))*INDEX(TrackMap!$M$8:$M$141,MOD(INT(D572)-1,Control!$B$7)+1)*IF(E572="BOOST",Control!$B$12,1)))</x:f>
        <x:v>5.500106762152586</x:v>
      </x:c>
      <x:c r="G572" s="83" t="n">
        <x:f>IF(A572=0,D572,MIN(Control!$B$17,D572+F572))</x:f>
        <x:v>334.4102458436464</x:v>
      </x:c>
      <x:c r="H572" s="73" t="n">
        <x:f>MOD(INT(G572)-1,Control!$B$7)+1</x:f>
        <x:v>66</x:v>
      </x:c>
      <x:c r="I572" s="73" t="n">
        <x:f>MIN(Control!$B$6,MAX(1,INT(MAX(0,G572)/Control!$B$7)+1))</x:f>
        <x:v>3</x:v>
      </x:c>
      <x:c r="J572" s="73" t="n">
        <x:f>INDEX(Drivers!$H$8:$H$13,B572)</x:f>
        <x:v>1</x:v>
      </x:c>
      <x:c r="K572" s="73" t="n">
        <x:f>IF(J572=1,INDEX(TrackMap!$I$8:$I$141,H572),INDEX(TrackMap!$L$8:$L$141,H572))</x:f>
        <x:v>1639</x:v>
      </x:c>
      <x:c r="L572" s="73" t="str">
        <x:f>INDEX(TrackMap!$F$8:$F$141,H572)</x:f>
        <x:v>→</x:v>
      </x:c>
      <x:c r="M572" s="87" t="n">
        <x:f>MAX(0,G572/Control!$B$17)</x:f>
        <x:v>0.4991197699158902</x:v>
      </x:c>
      <x:c r="N572" s="73" t="n">
        <x:f>IF(N566&gt;0,N566,IF(G572&gt;=Control!$B$17,A572,0))</x:f>
        <x:v>0</x:v>
      </x:c>
      <x:c r="O572" s="91" t="n">
        <x:f>IF(N572&gt;0,Control!$B$17+Control!$B$8+1-N572,G572)-B572/100000</x:f>
        <x:v>334.41023584364643</x:v>
      </x:c>
      <x:c r="P572" s="73" t="n">
        <x:f>COUNTIF($O$572:$O$577,"&gt;"&amp;O572)+1</x:f>
        <x:v>1</x:v>
      </x:c>
      <x:c r="Q572" s="83" t="n">
        <x:f>MAX($G$572:$G$577)-G572</x:f>
        <x:v>0</x:v>
      </x:c>
      <x:c r="R572" s="73" t="str">
        <x:f>INDEX(TrackMap!$B$8:$B$141,H572)</x:f>
        <x:v>中央高速直道</x:v>
      </x:c>
    </x:row>
    <x:row r="573" ht="20" customHeight="1">
      <x:c r="A573" s="73" t="n">
        <x:v>94</x:v>
      </x:c>
      <x:c r="B573" s="73" t="n">
        <x:v>2</x:v>
      </x:c>
      <x:c r="C573" s="73" t="str">
        <x:f>INDEX(Drivers!$B$8:$B$13,B573)</x:f>
        <x:v>蓝电</x:v>
      </x:c>
      <x:c r="D573" s="83" t="n">
        <x:f>G567</x:f>
        <x:v>318.996730527157</x:v>
      </x:c>
      <x:c r="E573" s="83" t="str">
        <x:f>IF(A573=0,"GRID",IF(D573&gt;=Control!$B$17,"FINISHED",IF(AND(A573&gt;=INDEX(Drivers!$G$8:$G$13,B573),A573&lt;INDEX(Drivers!$G$8:$G$13,B573)+INDEX(Drivers!$J$8:$J$13,B573)),"PIT",IF(MOD(A573+INDEX(Drivers!$F$8:$F$13,B573),Control!$B$11)&lt;Control!$B$13,"BOOST","RACE"))))</x:f>
        <x:v>RACE</x:v>
      </x:c>
      <x:c r="F573" s="83" t="n">
        <x:f>IF(OR(E573="GRID",E573="FINISHED",E573="PIT"),0,MAX(Control!$B$15,(INDEX(Drivers!$D$8:$D$13,B573)+INDEX(Drivers!$E$8:$E$13,B573)*SIN((A573+INDEX(Drivers!$F$8:$F$13,B573)+Control!$B$16)*Control!$B$14))*INDEX(TrackMap!$M$8:$M$141,MOD(INT(D573)-1,Control!$B$7)+1)*IF(E573="BOOST",Control!$B$12,1)))</x:f>
        <x:v>2.9857454137010606</x:v>
      </x:c>
      <x:c r="G573" s="83" t="n">
        <x:f>IF(A573=0,D573,MIN(Control!$B$17,D573+F573))</x:f>
        <x:v>321.9824759408581</x:v>
      </x:c>
      <x:c r="H573" s="73" t="n">
        <x:f>MOD(INT(G573)-1,Control!$B$7)+1</x:f>
        <x:v>53</x:v>
      </x:c>
      <x:c r="I573" s="73" t="n">
        <x:f>MIN(Control!$B$6,MAX(1,INT(MAX(0,G573)/Control!$B$7)+1))</x:f>
        <x:v>3</x:v>
      </x:c>
      <x:c r="J573" s="73" t="n">
        <x:f>INDEX(Drivers!$H$8:$H$13,B573)</x:f>
        <x:v>2</x:v>
      </x:c>
      <x:c r="K573" s="73" t="n">
        <x:f>IF(J573=1,INDEX(TrackMap!$I$8:$I$141,H573),INDEX(TrackMap!$L$8:$L$141,H573))</x:f>
        <x:v>1526</x:v>
      </x:c>
      <x:c r="L573" s="73" t="str">
        <x:f>INDEX(TrackMap!$F$8:$F$141,H573)</x:f>
        <x:v>→</x:v>
      </x:c>
      <x:c r="M573" s="87" t="n">
        <x:f>MAX(0,G573/Control!$B$17)</x:f>
        <x:v>0.480570859613221</x:v>
      </x:c>
      <x:c r="N573" s="73" t="n">
        <x:f>IF(N567&gt;0,N567,IF(G573&gt;=Control!$B$17,A573,0))</x:f>
        <x:v>0</x:v>
      </x:c>
      <x:c r="O573" s="91" t="n">
        <x:f>IF(N573&gt;0,Control!$B$17+Control!$B$8+1-N573,G573)-B573/100000</x:f>
        <x:v>321.9824559408581</x:v>
      </x:c>
      <x:c r="P573" s="73" t="n">
        <x:f>COUNTIF($O$572:$O$577,"&gt;"&amp;O573)+1</x:f>
        <x:v>4</x:v>
      </x:c>
      <x:c r="Q573" s="83" t="n">
        <x:f>MAX($G$572:$G$577)-G573</x:f>
        <x:v>12.427769902788327</x:v>
      </x:c>
      <x:c r="R573" s="73" t="str">
        <x:f>INDEX(TrackMap!$B$8:$B$141,H573)</x:f>
        <x:v>中央高速直道</x:v>
      </x:c>
    </x:row>
    <x:row r="574" ht="20" customHeight="1">
      <x:c r="A574" s="73" t="n">
        <x:v>94</x:v>
      </x:c>
      <x:c r="B574" s="73" t="n">
        <x:v>3</x:v>
      </x:c>
      <x:c r="C574" s="73" t="str">
        <x:f>INDEX(Drivers!$B$8:$B$13,B574)</x:f>
        <x:v>金翼</x:v>
      </x:c>
      <x:c r="D574" s="83" t="n">
        <x:f>G568</x:f>
        <x:v>323.0200209424093</x:v>
      </x:c>
      <x:c r="E574" s="83" t="str">
        <x:f>IF(A574=0,"GRID",IF(D574&gt;=Control!$B$17,"FINISHED",IF(AND(A574&gt;=INDEX(Drivers!$G$8:$G$13,B574),A574&lt;INDEX(Drivers!$G$8:$G$13,B574)+INDEX(Drivers!$J$8:$J$13,B574)),"PIT",IF(MOD(A574+INDEX(Drivers!$F$8:$F$13,B574),Control!$B$11)&lt;Control!$B$13,"BOOST","RACE"))))</x:f>
        <x:v>RACE</x:v>
      </x:c>
      <x:c r="F574" s="83" t="n">
        <x:f>IF(OR(E574="GRID",E574="FINISHED",E574="PIT"),0,MAX(Control!$B$15,(INDEX(Drivers!$D$8:$D$13,B574)+INDEX(Drivers!$E$8:$E$13,B574)*SIN((A574+INDEX(Drivers!$F$8:$F$13,B574)+Control!$B$16)*Control!$B$14))*INDEX(TrackMap!$M$8:$M$141,MOD(INT(D574)-1,Control!$B$7)+1)*IF(E574="BOOST",Control!$B$12,1)))</x:f>
        <x:v>4.157941673869064</x:v>
      </x:c>
      <x:c r="G574" s="83" t="n">
        <x:f>IF(A574=0,D574,MIN(Control!$B$17,D574+F574))</x:f>
        <x:v>327.17796261627836</x:v>
      </x:c>
      <x:c r="H574" s="73" t="n">
        <x:f>MOD(INT(G574)-1,Control!$B$7)+1</x:f>
        <x:v>59</x:v>
      </x:c>
      <x:c r="I574" s="73" t="n">
        <x:f>MIN(Control!$B$6,MAX(1,INT(MAX(0,G574)/Control!$B$7)+1))</x:f>
        <x:v>3</x:v>
      </x:c>
      <x:c r="J574" s="73" t="n">
        <x:f>INDEX(Drivers!$H$8:$H$13,B574)</x:f>
        <x:v>1</x:v>
      </x:c>
      <x:c r="K574" s="73" t="n">
        <x:f>IF(J574=1,INDEX(TrackMap!$I$8:$I$141,H574),INDEX(TrackMap!$L$8:$L$141,H574))</x:f>
        <x:v>1632</x:v>
      </x:c>
      <x:c r="L574" s="73" t="str">
        <x:f>INDEX(TrackMap!$F$8:$F$141,H574)</x:f>
        <x:v>→</x:v>
      </x:c>
      <x:c r="M574" s="87" t="n">
        <x:f>MAX(0,G574/Control!$B$17)</x:f>
        <x:v>0.4883253173377289</x:v>
      </x:c>
      <x:c r="N574" s="73" t="n">
        <x:f>IF(N568&gt;0,N568,IF(G574&gt;=Control!$B$17,A574,0))</x:f>
        <x:v>0</x:v>
      </x:c>
      <x:c r="O574" s="91" t="n">
        <x:f>IF(N574&gt;0,Control!$B$17+Control!$B$8+1-N574,G574)-B574/100000</x:f>
        <x:v>327.1779326162784</x:v>
      </x:c>
      <x:c r="P574" s="73" t="n">
        <x:f>COUNTIF($O$572:$O$577,"&gt;"&amp;O574)+1</x:f>
        <x:v>2</x:v>
      </x:c>
      <x:c r="Q574" s="83" t="n">
        <x:f>MAX($G$572:$G$577)-G574</x:f>
        <x:v>7.232283227368043</x:v>
      </x:c>
      <x:c r="R574" s="73" t="str">
        <x:f>INDEX(TrackMap!$B$8:$B$141,H574)</x:f>
        <x:v>中央高速直道</x:v>
      </x:c>
    </x:row>
    <x:row r="575" ht="20" customHeight="1">
      <x:c r="A575" s="73" t="n">
        <x:v>94</x:v>
      </x:c>
      <x:c r="B575" s="73" t="n">
        <x:v>4</x:v>
      </x:c>
      <x:c r="C575" s="73" t="str">
        <x:f>INDEX(Drivers!$B$8:$B$13,B575)</x:f>
        <x:v>紫影</x:v>
      </x:c>
      <x:c r="D575" s="83" t="n">
        <x:f>G569</x:f>
        <x:v>318.3799599057433</x:v>
      </x:c>
      <x:c r="E575" s="83" t="str">
        <x:f>IF(A575=0,"GRID",IF(D575&gt;=Control!$B$17,"FINISHED",IF(AND(A575&gt;=INDEX(Drivers!$G$8:$G$13,B575),A575&lt;INDEX(Drivers!$G$8:$G$13,B575)+INDEX(Drivers!$J$8:$J$13,B575)),"PIT",IF(MOD(A575+INDEX(Drivers!$F$8:$F$13,B575),Control!$B$11)&lt;Control!$B$13,"BOOST","RACE"))))</x:f>
        <x:v>RACE</x:v>
      </x:c>
      <x:c r="F575" s="83" t="n">
        <x:f>IF(OR(E575="GRID",E575="FINISHED",E575="PIT"),0,MAX(Control!$B$15,(INDEX(Drivers!$D$8:$D$13,B575)+INDEX(Drivers!$E$8:$E$13,B575)*SIN((A575+INDEX(Drivers!$F$8:$F$13,B575)+Control!$B$16)*Control!$B$14))*INDEX(TrackMap!$M$8:$M$141,MOD(INT(D575)-1,Control!$B$7)+1)*IF(E575="BOOST",Control!$B$12,1)))</x:f>
        <x:v>3.2695885787487233</x:v>
      </x:c>
      <x:c r="G575" s="83" t="n">
        <x:f>IF(A575=0,D575,MIN(Control!$B$17,D575+F575))</x:f>
        <x:v>321.649548484492</x:v>
      </x:c>
      <x:c r="H575" s="73" t="n">
        <x:f>MOD(INT(G575)-1,Control!$B$7)+1</x:f>
        <x:v>53</x:v>
      </x:c>
      <x:c r="I575" s="73" t="n">
        <x:f>MIN(Control!$B$6,MAX(1,INT(MAX(0,G575)/Control!$B$7)+1))</x:f>
        <x:v>3</x:v>
      </x:c>
      <x:c r="J575" s="73" t="n">
        <x:f>INDEX(Drivers!$H$8:$H$13,B575)</x:f>
        <x:v>2</x:v>
      </x:c>
      <x:c r="K575" s="73" t="n">
        <x:f>IF(J575=1,INDEX(TrackMap!$I$8:$I$141,H575),INDEX(TrackMap!$L$8:$L$141,H575))</x:f>
        <x:v>1526</x:v>
      </x:c>
      <x:c r="L575" s="73" t="str">
        <x:f>INDEX(TrackMap!$F$8:$F$141,H575)</x:f>
        <x:v>→</x:v>
      </x:c>
      <x:c r="M575" s="87" t="n">
        <x:f>MAX(0,G575/Control!$B$17)</x:f>
        <x:v>0.4800739529619284</x:v>
      </x:c>
      <x:c r="N575" s="73" t="n">
        <x:f>IF(N569&gt;0,N569,IF(G575&gt;=Control!$B$17,A575,0))</x:f>
        <x:v>0</x:v>
      </x:c>
      <x:c r="O575" s="91" t="n">
        <x:f>IF(N575&gt;0,Control!$B$17+Control!$B$8+1-N575,G575)-B575/100000</x:f>
        <x:v>321.649508484492</x:v>
      </x:c>
      <x:c r="P575" s="73" t="n">
        <x:f>COUNTIF($O$572:$O$577,"&gt;"&amp;O575)+1</x:f>
        <x:v>5</x:v>
      </x:c>
      <x:c r="Q575" s="83" t="n">
        <x:f>MAX($G$572:$G$577)-G575</x:f>
        <x:v>12.760697359154392</x:v>
      </x:c>
      <x:c r="R575" s="73" t="str">
        <x:f>INDEX(TrackMap!$B$8:$B$141,H575)</x:f>
        <x:v>中央高速直道</x:v>
      </x:c>
    </x:row>
    <x:row r="576" ht="20" customHeight="1">
      <x:c r="A576" s="73" t="n">
        <x:v>94</x:v>
      </x:c>
      <x:c r="B576" s="73" t="n">
        <x:v>5</x:v>
      </x:c>
      <x:c r="C576" s="73" t="str">
        <x:f>INDEX(Drivers!$B$8:$B$13,B576)</x:f>
        <x:v>青锋</x:v>
      </x:c>
      <x:c r="D576" s="83" t="n">
        <x:f>G570</x:f>
        <x:v>321.74039105006835</x:v>
      </x:c>
      <x:c r="E576" s="83" t="str">
        <x:f>IF(A576=0,"GRID",IF(D576&gt;=Control!$B$17,"FINISHED",IF(AND(A576&gt;=INDEX(Drivers!$G$8:$G$13,B576),A576&lt;INDEX(Drivers!$G$8:$G$13,B576)+INDEX(Drivers!$J$8:$J$13,B576)),"PIT",IF(MOD(A576+INDEX(Drivers!$F$8:$F$13,B576),Control!$B$11)&lt;Control!$B$13,"BOOST","RACE"))))</x:f>
        <x:v>RACE</x:v>
      </x:c>
      <x:c r="F576" s="83" t="n">
        <x:f>IF(OR(E576="GRID",E576="FINISHED",E576="PIT"),0,MAX(Control!$B$15,(INDEX(Drivers!$D$8:$D$13,B576)+INDEX(Drivers!$E$8:$E$13,B576)*SIN((A576+INDEX(Drivers!$F$8:$F$13,B576)+Control!$B$16)*Control!$B$14))*INDEX(TrackMap!$M$8:$M$141,MOD(INT(D576)-1,Control!$B$7)+1)*IF(E576="BOOST",Control!$B$12,1)))</x:f>
        <x:v>3.3366883386910495</x:v>
      </x:c>
      <x:c r="G576" s="83" t="n">
        <x:f>IF(A576=0,D576,MIN(Control!$B$17,D576+F576))</x:f>
        <x:v>325.0770793887594</x:v>
      </x:c>
      <x:c r="H576" s="73" t="n">
        <x:f>MOD(INT(G576)-1,Control!$B$7)+1</x:f>
        <x:v>57</x:v>
      </x:c>
      <x:c r="I576" s="73" t="n">
        <x:f>MIN(Control!$B$6,MAX(1,INT(MAX(0,G576)/Control!$B$7)+1))</x:f>
        <x:v>3</x:v>
      </x:c>
      <x:c r="J576" s="73" t="n">
        <x:f>INDEX(Drivers!$H$8:$H$13,B576)</x:f>
        <x:v>1</x:v>
      </x:c>
      <x:c r="K576" s="73" t="n">
        <x:f>IF(J576=1,INDEX(TrackMap!$I$8:$I$141,H576),INDEX(TrackMap!$L$8:$L$141,H576))</x:f>
        <x:v>1630</x:v>
      </x:c>
      <x:c r="L576" s="73" t="str">
        <x:f>INDEX(TrackMap!$F$8:$F$141,H576)</x:f>
        <x:v>→</x:v>
      </x:c>
      <x:c r="M576" s="87" t="n">
        <x:f>MAX(0,G576/Control!$B$17)</x:f>
        <x:v>0.4851896707294916</x:v>
      </x:c>
      <x:c r="N576" s="73" t="n">
        <x:f>IF(N570&gt;0,N570,IF(G576&gt;=Control!$B$17,A576,0))</x:f>
        <x:v>0</x:v>
      </x:c>
      <x:c r="O576" s="91" t="n">
        <x:f>IF(N576&gt;0,Control!$B$17+Control!$B$8+1-N576,G576)-B576/100000</x:f>
        <x:v>325.0770293887594</x:v>
      </x:c>
      <x:c r="P576" s="73" t="n">
        <x:f>COUNTIF($O$572:$O$577,"&gt;"&amp;O576)+1</x:f>
        <x:v>3</x:v>
      </x:c>
      <x:c r="Q576" s="83" t="n">
        <x:f>MAX($G$572:$G$577)-G576</x:f>
        <x:v>9.33316645488702</x:v>
      </x:c>
      <x:c r="R576" s="73" t="str">
        <x:f>INDEX(TrackMap!$B$8:$B$141,H576)</x:f>
        <x:v>中央高速直道</x:v>
      </x:c>
    </x:row>
    <x:row r="577" ht="20" customHeight="1">
      <x:c r="A577" s="73" t="n">
        <x:v>94</x:v>
      </x:c>
      <x:c r="B577" s="73" t="n">
        <x:v>6</x:v>
      </x:c>
      <x:c r="C577" s="73" t="str">
        <x:f>INDEX(Drivers!$B$8:$B$13,B577)</x:f>
        <x:v>玫速</x:v>
      </x:c>
      <x:c r="D577" s="83" t="n">
        <x:f>G571</x:f>
        <x:v>317.60378672882734</x:v>
      </x:c>
      <x:c r="E577" s="83" t="str">
        <x:f>IF(A577=0,"GRID",IF(D577&gt;=Control!$B$17,"FINISHED",IF(AND(A577&gt;=INDEX(Drivers!$G$8:$G$13,B577),A577&lt;INDEX(Drivers!$G$8:$G$13,B577)+INDEX(Drivers!$J$8:$J$13,B577)),"PIT",IF(MOD(A577+INDEX(Drivers!$F$8:$F$13,B577),Control!$B$11)&lt;Control!$B$13,"BOOST","RACE"))))</x:f>
        <x:v>RACE</x:v>
      </x:c>
      <x:c r="F577" s="83" t="n">
        <x:f>IF(OR(E577="GRID",E577="FINISHED",E577="PIT"),0,MAX(Control!$B$15,(INDEX(Drivers!$D$8:$D$13,B577)+INDEX(Drivers!$E$8:$E$13,B577)*SIN((A577+INDEX(Drivers!$F$8:$F$13,B577)+Control!$B$16)*Control!$B$14))*INDEX(TrackMap!$M$8:$M$141,MOD(INT(D577)-1,Control!$B$7)+1)*IF(E577="BOOST",Control!$B$12,1)))</x:f>
        <x:v>3.708610856002127</x:v>
      </x:c>
      <x:c r="G577" s="83" t="n">
        <x:f>IF(A577=0,D577,MIN(Control!$B$17,D577+F577))</x:f>
        <x:v>321.31239758482945</x:v>
      </x:c>
      <x:c r="H577" s="73" t="n">
        <x:f>MOD(INT(G577)-1,Control!$B$7)+1</x:f>
        <x:v>53</x:v>
      </x:c>
      <x:c r="I577" s="73" t="n">
        <x:f>MIN(Control!$B$6,MAX(1,INT(MAX(0,G577)/Control!$B$7)+1))</x:f>
        <x:v>3</x:v>
      </x:c>
      <x:c r="J577" s="73" t="n">
        <x:f>INDEX(Drivers!$H$8:$H$13,B577)</x:f>
        <x:v>2</x:v>
      </x:c>
      <x:c r="K577" s="73" t="n">
        <x:f>IF(J577=1,INDEX(TrackMap!$I$8:$I$141,H577),INDEX(TrackMap!$L$8:$L$141,H577))</x:f>
        <x:v>1526</x:v>
      </x:c>
      <x:c r="L577" s="73" t="str">
        <x:f>INDEX(TrackMap!$F$8:$F$141,H577)</x:f>
        <x:v>→</x:v>
      </x:c>
      <x:c r="M577" s="87" t="n">
        <x:f>MAX(0,G577/Control!$B$17)</x:f>
        <x:v>0.4795707426639246</x:v>
      </x:c>
      <x:c r="N577" s="73" t="n">
        <x:f>IF(N571&gt;0,N571,IF(G577&gt;=Control!$B$17,A577,0))</x:f>
        <x:v>0</x:v>
      </x:c>
      <x:c r="O577" s="91" t="n">
        <x:f>IF(N577&gt;0,Control!$B$17+Control!$B$8+1-N577,G577)-B577/100000</x:f>
        <x:v>321.31233758482944</x:v>
      </x:c>
      <x:c r="P577" s="73" t="n">
        <x:f>COUNTIF($O$572:$O$577,"&gt;"&amp;O577)+1</x:f>
        <x:v>6</x:v>
      </x:c>
      <x:c r="Q577" s="83" t="n">
        <x:f>MAX($G$572:$G$577)-G577</x:f>
        <x:v>13.097848258816953</x:v>
      </x:c>
      <x:c r="R577" s="73" t="str">
        <x:f>INDEX(TrackMap!$B$8:$B$141,H577)</x:f>
        <x:v>中央高速直道</x:v>
      </x:c>
    </x:row>
    <x:row r="578" ht="20" customHeight="1">
      <x:c r="A578" s="73" t="n">
        <x:v>95</x:v>
      </x:c>
      <x:c r="B578" s="73" t="n">
        <x:v>1</x:v>
      </x:c>
      <x:c r="C578" s="73" t="str">
        <x:f>INDEX(Drivers!$B$8:$B$13,B578)</x:f>
        <x:v>赤焰</x:v>
      </x:c>
      <x:c r="D578" s="83" t="n">
        <x:f>G572</x:f>
        <x:v>334.4102458436464</x:v>
      </x:c>
      <x:c r="E578" s="83" t="str">
        <x:f>IF(A578=0,"GRID",IF(D578&gt;=Control!$B$17,"FINISHED",IF(AND(A578&gt;=INDEX(Drivers!$G$8:$G$13,B578),A578&lt;INDEX(Drivers!$G$8:$G$13,B578)+INDEX(Drivers!$J$8:$J$13,B578)),"PIT",IF(MOD(A578+INDEX(Drivers!$F$8:$F$13,B578),Control!$B$11)&lt;Control!$B$13,"BOOST","RACE"))))</x:f>
        <x:v>PIT</x:v>
      </x:c>
      <x:c r="F578" s="83" t="n">
        <x:f>IF(OR(E578="GRID",E578="FINISHED",E578="PIT"),0,MAX(Control!$B$15,(INDEX(Drivers!$D$8:$D$13,B578)+INDEX(Drivers!$E$8:$E$13,B578)*SIN((A578+INDEX(Drivers!$F$8:$F$13,B578)+Control!$B$16)*Control!$B$14))*INDEX(TrackMap!$M$8:$M$141,MOD(INT(D578)-1,Control!$B$7)+1)*IF(E578="BOOST",Control!$B$12,1)))</x:f>
        <x:v>0</x:v>
      </x:c>
      <x:c r="G578" s="83" t="n">
        <x:f>IF(A578=0,D578,MIN(Control!$B$17,D578+F578))</x:f>
        <x:v>334.4102458436464</x:v>
      </x:c>
      <x:c r="H578" s="73" t="n">
        <x:f>MOD(INT(G578)-1,Control!$B$7)+1</x:f>
        <x:v>66</x:v>
      </x:c>
      <x:c r="I578" s="73" t="n">
        <x:f>MIN(Control!$B$6,MAX(1,INT(MAX(0,G578)/Control!$B$7)+1))</x:f>
        <x:v>3</x:v>
      </x:c>
      <x:c r="J578" s="73" t="n">
        <x:f>INDEX(Drivers!$H$8:$H$13,B578)</x:f>
        <x:v>1</x:v>
      </x:c>
      <x:c r="K578" s="73" t="n">
        <x:f>IF(J578=1,INDEX(TrackMap!$I$8:$I$141,H578),INDEX(TrackMap!$L$8:$L$141,H578))</x:f>
        <x:v>1639</x:v>
      </x:c>
      <x:c r="L578" s="73" t="str">
        <x:f>INDEX(TrackMap!$F$8:$F$141,H578)</x:f>
        <x:v>→</x:v>
      </x:c>
      <x:c r="M578" s="87" t="n">
        <x:f>MAX(0,G578/Control!$B$17)</x:f>
        <x:v>0.4991197699158902</x:v>
      </x:c>
      <x:c r="N578" s="73" t="n">
        <x:f>IF(N572&gt;0,N572,IF(G578&gt;=Control!$B$17,A578,0))</x:f>
        <x:v>0</x:v>
      </x:c>
      <x:c r="O578" s="91" t="n">
        <x:f>IF(N578&gt;0,Control!$B$17+Control!$B$8+1-N578,G578)-B578/100000</x:f>
        <x:v>334.41023584364643</x:v>
      </x:c>
      <x:c r="P578" s="73" t="n">
        <x:f>COUNTIF($O$578:$O$583,"&gt;"&amp;O578)+1</x:f>
        <x:v>1</x:v>
      </x:c>
      <x:c r="Q578" s="83" t="n">
        <x:f>MAX($G$578:$G$583)-G578</x:f>
        <x:v>0</x:v>
      </x:c>
      <x:c r="R578" s="73" t="str">
        <x:f>INDEX(TrackMap!$B$8:$B$141,H578)</x:f>
        <x:v>中央高速直道</x:v>
      </x:c>
    </x:row>
    <x:row r="579" ht="20" customHeight="1">
      <x:c r="A579" s="73" t="n">
        <x:v>95</x:v>
      </x:c>
      <x:c r="B579" s="73" t="n">
        <x:v>2</x:v>
      </x:c>
      <x:c r="C579" s="73" t="str">
        <x:f>INDEX(Drivers!$B$8:$B$13,B579)</x:f>
        <x:v>蓝电</x:v>
      </x:c>
      <x:c r="D579" s="83" t="n">
        <x:f>G573</x:f>
        <x:v>321.9824759408581</x:v>
      </x:c>
      <x:c r="E579" s="83" t="str">
        <x:f>IF(A579=0,"GRID",IF(D579&gt;=Control!$B$17,"FINISHED",IF(AND(A579&gt;=INDEX(Drivers!$G$8:$G$13,B579),A579&lt;INDEX(Drivers!$G$8:$G$13,B579)+INDEX(Drivers!$J$8:$J$13,B579)),"PIT",IF(MOD(A579+INDEX(Drivers!$F$8:$F$13,B579),Control!$B$11)&lt;Control!$B$13,"BOOST","RACE"))))</x:f>
        <x:v>RACE</x:v>
      </x:c>
      <x:c r="F579" s="83" t="n">
        <x:f>IF(OR(E579="GRID",E579="FINISHED",E579="PIT"),0,MAX(Control!$B$15,(INDEX(Drivers!$D$8:$D$13,B579)+INDEX(Drivers!$E$8:$E$13,B579)*SIN((A579+INDEX(Drivers!$F$8:$F$13,B579)+Control!$B$16)*Control!$B$14))*INDEX(TrackMap!$M$8:$M$141,MOD(INT(D579)-1,Control!$B$7)+1)*IF(E579="BOOST",Control!$B$12,1)))</x:f>
        <x:v>3.0559142846074927</x:v>
      </x:c>
      <x:c r="G579" s="83" t="n">
        <x:f>IF(A579=0,D579,MIN(Control!$B$17,D579+F579))</x:f>
        <x:v>325.03839022546555</x:v>
      </x:c>
      <x:c r="H579" s="73" t="n">
        <x:f>MOD(INT(G579)-1,Control!$B$7)+1</x:f>
        <x:v>57</x:v>
      </x:c>
      <x:c r="I579" s="73" t="n">
        <x:f>MIN(Control!$B$6,MAX(1,INT(MAX(0,G579)/Control!$B$7)+1))</x:f>
        <x:v>3</x:v>
      </x:c>
      <x:c r="J579" s="73" t="n">
        <x:f>INDEX(Drivers!$H$8:$H$13,B579)</x:f>
        <x:v>2</x:v>
      </x:c>
      <x:c r="K579" s="73" t="n">
        <x:f>IF(J579=1,INDEX(TrackMap!$I$8:$I$141,H579),INDEX(TrackMap!$L$8:$L$141,H579))</x:f>
        <x:v>1530</x:v>
      </x:c>
      <x:c r="L579" s="73" t="str">
        <x:f>INDEX(TrackMap!$F$8:$F$141,H579)</x:f>
        <x:v>→</x:v>
      </x:c>
      <x:c r="M579" s="87" t="n">
        <x:f>MAX(0,G579/Control!$B$17)</x:f>
        <x:v>0.4851319257096501</x:v>
      </x:c>
      <x:c r="N579" s="73" t="n">
        <x:f>IF(N573&gt;0,N573,IF(G579&gt;=Control!$B$17,A579,0))</x:f>
        <x:v>0</x:v>
      </x:c>
      <x:c r="O579" s="91" t="n">
        <x:f>IF(N579&gt;0,Control!$B$17+Control!$B$8+1-N579,G579)-B579/100000</x:f>
        <x:v>325.03837022546554</x:v>
      </x:c>
      <x:c r="P579" s="73" t="n">
        <x:f>COUNTIF($O$578:$O$583,"&gt;"&amp;O579)+1</x:f>
        <x:v>5</x:v>
      </x:c>
      <x:c r="Q579" s="83" t="n">
        <x:f>MAX($G$578:$G$583)-G579</x:f>
        <x:v>9.37185561818086</x:v>
      </x:c>
      <x:c r="R579" s="73" t="str">
        <x:f>INDEX(TrackMap!$B$8:$B$141,H579)</x:f>
        <x:v>中央高速直道</x:v>
      </x:c>
    </x:row>
    <x:row r="580" ht="20" customHeight="1">
      <x:c r="A580" s="73" t="n">
        <x:v>95</x:v>
      </x:c>
      <x:c r="B580" s="73" t="n">
        <x:v>3</x:v>
      </x:c>
      <x:c r="C580" s="73" t="str">
        <x:f>INDEX(Drivers!$B$8:$B$13,B580)</x:f>
        <x:v>金翼</x:v>
      </x:c>
      <x:c r="D580" s="83" t="n">
        <x:f>G574</x:f>
        <x:v>327.17796261627836</x:v>
      </x:c>
      <x:c r="E580" s="83" t="str">
        <x:f>IF(A580=0,"GRID",IF(D580&gt;=Control!$B$17,"FINISHED",IF(AND(A580&gt;=INDEX(Drivers!$G$8:$G$13,B580),A580&lt;INDEX(Drivers!$G$8:$G$13,B580)+INDEX(Drivers!$J$8:$J$13,B580)),"PIT",IF(MOD(A580+INDEX(Drivers!$F$8:$F$13,B580),Control!$B$11)&lt;Control!$B$13,"BOOST","RACE"))))</x:f>
        <x:v>RACE</x:v>
      </x:c>
      <x:c r="F580" s="83" t="n">
        <x:f>IF(OR(E580="GRID",E580="FINISHED",E580="PIT"),0,MAX(Control!$B$15,(INDEX(Drivers!$D$8:$D$13,B580)+INDEX(Drivers!$E$8:$E$13,B580)*SIN((A580+INDEX(Drivers!$F$8:$F$13,B580)+Control!$B$16)*Control!$B$14))*INDEX(TrackMap!$M$8:$M$141,MOD(INT(D580)-1,Control!$B$7)+1)*IF(E580="BOOST",Control!$B$12,1)))</x:f>
        <x:v>4.199535809900828</x:v>
      </x:c>
      <x:c r="G580" s="83" t="n">
        <x:f>IF(A580=0,D580,MIN(Control!$B$17,D580+F580))</x:f>
        <x:v>331.3774984261792</x:v>
      </x:c>
      <x:c r="H580" s="73" t="n">
        <x:f>MOD(INT(G580)-1,Control!$B$7)+1</x:f>
        <x:v>63</x:v>
      </x:c>
      <x:c r="I580" s="73" t="n">
        <x:f>MIN(Control!$B$6,MAX(1,INT(MAX(0,G580)/Control!$B$7)+1))</x:f>
        <x:v>3</x:v>
      </x:c>
      <x:c r="J580" s="73" t="n">
        <x:f>INDEX(Drivers!$H$8:$H$13,B580)</x:f>
        <x:v>1</x:v>
      </x:c>
      <x:c r="K580" s="73" t="n">
        <x:f>IF(J580=1,INDEX(TrackMap!$I$8:$I$141,H580),INDEX(TrackMap!$L$8:$L$141,H580))</x:f>
        <x:v>1636</x:v>
      </x:c>
      <x:c r="L580" s="73" t="str">
        <x:f>INDEX(TrackMap!$F$8:$F$141,H580)</x:f>
        <x:v>→</x:v>
      </x:c>
      <x:c r="M580" s="87" t="n">
        <x:f>MAX(0,G580/Control!$B$17)</x:f>
        <x:v>0.4945932812331033</x:v>
      </x:c>
      <x:c r="N580" s="73" t="n">
        <x:f>IF(N574&gt;0,N574,IF(G580&gt;=Control!$B$17,A580,0))</x:f>
        <x:v>0</x:v>
      </x:c>
      <x:c r="O580" s="91" t="n">
        <x:f>IF(N580&gt;0,Control!$B$17+Control!$B$8+1-N580,G580)-B580/100000</x:f>
        <x:v>331.37746842617923</x:v>
      </x:c>
      <x:c r="P580" s="73" t="n">
        <x:f>COUNTIF($O$578:$O$583,"&gt;"&amp;O580)+1</x:f>
        <x:v>2</x:v>
      </x:c>
      <x:c r="Q580" s="83" t="n">
        <x:f>MAX($G$578:$G$583)-G580</x:f>
        <x:v>3.032747417467192</x:v>
      </x:c>
      <x:c r="R580" s="73" t="str">
        <x:f>INDEX(TrackMap!$B$8:$B$141,H580)</x:f>
        <x:v>中央高速直道</x:v>
      </x:c>
    </x:row>
    <x:row r="581" ht="20" customHeight="1">
      <x:c r="A581" s="73" t="n">
        <x:v>95</x:v>
      </x:c>
      <x:c r="B581" s="73" t="n">
        <x:v>4</x:v>
      </x:c>
      <x:c r="C581" s="73" t="str">
        <x:f>INDEX(Drivers!$B$8:$B$13,B581)</x:f>
        <x:v>紫影</x:v>
      </x:c>
      <x:c r="D581" s="83" t="n">
        <x:f>G575</x:f>
        <x:v>321.649548484492</x:v>
      </x:c>
      <x:c r="E581" s="83" t="str">
        <x:f>IF(A581=0,"GRID",IF(D581&gt;=Control!$B$17,"FINISHED",IF(AND(A581&gt;=INDEX(Drivers!$G$8:$G$13,B581),A581&lt;INDEX(Drivers!$G$8:$G$13,B581)+INDEX(Drivers!$J$8:$J$13,B581)),"PIT",IF(MOD(A581+INDEX(Drivers!$F$8:$F$13,B581),Control!$B$11)&lt;Control!$B$13,"BOOST","RACE"))))</x:f>
        <x:v>RACE</x:v>
      </x:c>
      <x:c r="F581" s="83" t="n">
        <x:f>IF(OR(E581="GRID",E581="FINISHED",E581="PIT"),0,MAX(Control!$B$15,(INDEX(Drivers!$D$8:$D$13,B581)+INDEX(Drivers!$E$8:$E$13,B581)*SIN((A581+INDEX(Drivers!$F$8:$F$13,B581)+Control!$B$16)*Control!$B$14))*INDEX(TrackMap!$M$8:$M$141,MOD(INT(D581)-1,Control!$B$7)+1)*IF(E581="BOOST",Control!$B$12,1)))</x:f>
        <x:v>3.119571856950766</x:v>
      </x:c>
      <x:c r="G581" s="83" t="n">
        <x:f>IF(A581=0,D581,MIN(Control!$B$17,D581+F581))</x:f>
        <x:v>324.7691203414428</x:v>
      </x:c>
      <x:c r="H581" s="73" t="n">
        <x:f>MOD(INT(G581)-1,Control!$B$7)+1</x:f>
        <x:v>56</x:v>
      </x:c>
      <x:c r="I581" s="73" t="n">
        <x:f>MIN(Control!$B$6,MAX(1,INT(MAX(0,G581)/Control!$B$7)+1))</x:f>
        <x:v>3</x:v>
      </x:c>
      <x:c r="J581" s="73" t="n">
        <x:f>INDEX(Drivers!$H$8:$H$13,B581)</x:f>
        <x:v>2</x:v>
      </x:c>
      <x:c r="K581" s="73" t="n">
        <x:f>IF(J581=1,INDEX(TrackMap!$I$8:$I$141,H581),INDEX(TrackMap!$L$8:$L$141,H581))</x:f>
        <x:v>1529</x:v>
      </x:c>
      <x:c r="L581" s="73" t="str">
        <x:f>INDEX(TrackMap!$F$8:$F$141,H581)</x:f>
        <x:v>→</x:v>
      </x:c>
      <x:c r="M581" s="87" t="n">
        <x:f>MAX(0,G581/Control!$B$17)</x:f>
        <x:v>0.48473003036036233</x:v>
      </x:c>
      <x:c r="N581" s="73" t="n">
        <x:f>IF(N575&gt;0,N575,IF(G581&gt;=Control!$B$17,A581,0))</x:f>
        <x:v>0</x:v>
      </x:c>
      <x:c r="O581" s="91" t="n">
        <x:f>IF(N581&gt;0,Control!$B$17+Control!$B$8+1-N581,G581)-B581/100000</x:f>
        <x:v>324.76908034144276</x:v>
      </x:c>
      <x:c r="P581" s="73" t="n">
        <x:f>COUNTIF($O$578:$O$583,"&gt;"&amp;O581)+1</x:f>
        <x:v>6</x:v>
      </x:c>
      <x:c r="Q581" s="83" t="n">
        <x:f>MAX($G$578:$G$583)-G581</x:f>
        <x:v>9.641125502203636</x:v>
      </x:c>
      <x:c r="R581" s="73" t="str">
        <x:f>INDEX(TrackMap!$B$8:$B$141,H581)</x:f>
        <x:v>中央高速直道</x:v>
      </x:c>
    </x:row>
    <x:row r="582" ht="20" customHeight="1">
      <x:c r="A582" s="73" t="n">
        <x:v>95</x:v>
      </x:c>
      <x:c r="B582" s="73" t="n">
        <x:v>5</x:v>
      </x:c>
      <x:c r="C582" s="73" t="str">
        <x:f>INDEX(Drivers!$B$8:$B$13,B582)</x:f>
        <x:v>青锋</x:v>
      </x:c>
      <x:c r="D582" s="83" t="n">
        <x:f>G576</x:f>
        <x:v>325.0770793887594</x:v>
      </x:c>
      <x:c r="E582" s="83" t="str">
        <x:f>IF(A582=0,"GRID",IF(D582&gt;=Control!$B$17,"FINISHED",IF(AND(A582&gt;=INDEX(Drivers!$G$8:$G$13,B582),A582&lt;INDEX(Drivers!$G$8:$G$13,B582)+INDEX(Drivers!$J$8:$J$13,B582)),"PIT",IF(MOD(A582+INDEX(Drivers!$F$8:$F$13,B582),Control!$B$11)&lt;Control!$B$13,"BOOST","RACE"))))</x:f>
        <x:v>RACE</x:v>
      </x:c>
      <x:c r="F582" s="83" t="n">
        <x:f>IF(OR(E582="GRID",E582="FINISHED",E582="PIT"),0,MAX(Control!$B$15,(INDEX(Drivers!$D$8:$D$13,B582)+INDEX(Drivers!$E$8:$E$13,B582)*SIN((A582+INDEX(Drivers!$F$8:$F$13,B582)+Control!$B$16)*Control!$B$14))*INDEX(TrackMap!$M$8:$M$141,MOD(INT(D582)-1,Control!$B$7)+1)*IF(E582="BOOST",Control!$B$12,1)))</x:f>
        <x:v>3.2012666263423917</x:v>
      </x:c>
      <x:c r="G582" s="83" t="n">
        <x:f>IF(A582=0,D582,MIN(Control!$B$17,D582+F582))</x:f>
        <x:v>328.27834601510176</x:v>
      </x:c>
      <x:c r="H582" s="73" t="n">
        <x:f>MOD(INT(G582)-1,Control!$B$7)+1</x:f>
        <x:v>60</x:v>
      </x:c>
      <x:c r="I582" s="73" t="n">
        <x:f>MIN(Control!$B$6,MAX(1,INT(MAX(0,G582)/Control!$B$7)+1))</x:f>
        <x:v>3</x:v>
      </x:c>
      <x:c r="J582" s="73" t="n">
        <x:f>INDEX(Drivers!$H$8:$H$13,B582)</x:f>
        <x:v>1</x:v>
      </x:c>
      <x:c r="K582" s="73" t="n">
        <x:f>IF(J582=1,INDEX(TrackMap!$I$8:$I$141,H582),INDEX(TrackMap!$L$8:$L$141,H582))</x:f>
        <x:v>1633</x:v>
      </x:c>
      <x:c r="L582" s="73" t="str">
        <x:f>INDEX(TrackMap!$F$8:$F$141,H582)</x:f>
        <x:v>→</x:v>
      </x:c>
      <x:c r="M582" s="87" t="n">
        <x:f>MAX(0,G582/Control!$B$17)</x:f>
        <x:v>0.48996768061955487</x:v>
      </x:c>
      <x:c r="N582" s="73" t="n">
        <x:f>IF(N576&gt;0,N576,IF(G582&gt;=Control!$B$17,A582,0))</x:f>
        <x:v>0</x:v>
      </x:c>
      <x:c r="O582" s="91" t="n">
        <x:f>IF(N582&gt;0,Control!$B$17+Control!$B$8+1-N582,G582)-B582/100000</x:f>
        <x:v>328.2782960151018</x:v>
      </x:c>
      <x:c r="P582" s="73" t="n">
        <x:f>COUNTIF($O$578:$O$583,"&gt;"&amp;O582)+1</x:f>
        <x:v>3</x:v>
      </x:c>
      <x:c r="Q582" s="83" t="n">
        <x:f>MAX($G$578:$G$583)-G582</x:f>
        <x:v>6.131899828544647</x:v>
      </x:c>
      <x:c r="R582" s="73" t="str">
        <x:f>INDEX(TrackMap!$B$8:$B$141,H582)</x:f>
        <x:v>中央高速直道</x:v>
      </x:c>
    </x:row>
    <x:row r="583" ht="20" customHeight="1">
      <x:c r="A583" s="73" t="n">
        <x:v>95</x:v>
      </x:c>
      <x:c r="B583" s="73" t="n">
        <x:v>6</x:v>
      </x:c>
      <x:c r="C583" s="73" t="str">
        <x:f>INDEX(Drivers!$B$8:$B$13,B583)</x:f>
        <x:v>玫速</x:v>
      </x:c>
      <x:c r="D583" s="83" t="n">
        <x:f>G577</x:f>
        <x:v>321.31239758482945</x:v>
      </x:c>
      <x:c r="E583" s="83" t="str">
        <x:f>IF(A583=0,"GRID",IF(D583&gt;=Control!$B$17,"FINISHED",IF(AND(A583&gt;=INDEX(Drivers!$G$8:$G$13,B583),A583&lt;INDEX(Drivers!$G$8:$G$13,B583)+INDEX(Drivers!$J$8:$J$13,B583)),"PIT",IF(MOD(A583+INDEX(Drivers!$F$8:$F$13,B583),Control!$B$11)&lt;Control!$B$13,"BOOST","RACE"))))</x:f>
        <x:v>RACE</x:v>
      </x:c>
      <x:c r="F583" s="83" t="n">
        <x:f>IF(OR(E583="GRID",E583="FINISHED",E583="PIT"),0,MAX(Control!$B$15,(INDEX(Drivers!$D$8:$D$13,B583)+INDEX(Drivers!$E$8:$E$13,B583)*SIN((A583+INDEX(Drivers!$F$8:$F$13,B583)+Control!$B$16)*Control!$B$14))*INDEX(TrackMap!$M$8:$M$141,MOD(INT(D583)-1,Control!$B$7)+1)*IF(E583="BOOST",Control!$B$12,1)))</x:f>
        <x:v>3.9233971259332017</x:v>
      </x:c>
      <x:c r="G583" s="83" t="n">
        <x:f>IF(A583=0,D583,MIN(Control!$B$17,D583+F583))</x:f>
        <x:v>325.23579471076266</x:v>
      </x:c>
      <x:c r="H583" s="73" t="n">
        <x:f>MOD(INT(G583)-1,Control!$B$7)+1</x:f>
        <x:v>57</x:v>
      </x:c>
      <x:c r="I583" s="73" t="n">
        <x:f>MIN(Control!$B$6,MAX(1,INT(MAX(0,G583)/Control!$B$7)+1))</x:f>
        <x:v>3</x:v>
      </x:c>
      <x:c r="J583" s="73" t="n">
        <x:f>INDEX(Drivers!$H$8:$H$13,B583)</x:f>
        <x:v>2</x:v>
      </x:c>
      <x:c r="K583" s="73" t="n">
        <x:f>IF(J583=1,INDEX(TrackMap!$I$8:$I$141,H583),INDEX(TrackMap!$L$8:$L$141,H583))</x:f>
        <x:v>1530</x:v>
      </x:c>
      <x:c r="L583" s="73" t="str">
        <x:f>INDEX(TrackMap!$F$8:$F$141,H583)</x:f>
        <x:v>→</x:v>
      </x:c>
      <x:c r="M583" s="87" t="n">
        <x:f>MAX(0,G583/Control!$B$17)</x:f>
        <x:v>0.485426559269795</x:v>
      </x:c>
      <x:c r="N583" s="73" t="n">
        <x:f>IF(N577&gt;0,N577,IF(G583&gt;=Control!$B$17,A583,0))</x:f>
        <x:v>0</x:v>
      </x:c>
      <x:c r="O583" s="91" t="n">
        <x:f>IF(N583&gt;0,Control!$B$17+Control!$B$8+1-N583,G583)-B583/100000</x:f>
        <x:v>325.23573471076264</x:v>
      </x:c>
      <x:c r="P583" s="73" t="n">
        <x:f>COUNTIF($O$578:$O$583,"&gt;"&amp;O583)+1</x:f>
        <x:v>4</x:v>
      </x:c>
      <x:c r="Q583" s="83" t="n">
        <x:f>MAX($G$578:$G$583)-G583</x:f>
        <x:v>9.174451132883746</x:v>
      </x:c>
      <x:c r="R583" s="73" t="str">
        <x:f>INDEX(TrackMap!$B$8:$B$141,H583)</x:f>
        <x:v>中央高速直道</x:v>
      </x:c>
    </x:row>
    <x:row r="584" ht="20" customHeight="1">
      <x:c r="A584" s="73" t="n">
        <x:v>96</x:v>
      </x:c>
      <x:c r="B584" s="73" t="n">
        <x:v>1</x:v>
      </x:c>
      <x:c r="C584" s="73" t="str">
        <x:f>INDEX(Drivers!$B$8:$B$13,B584)</x:f>
        <x:v>赤焰</x:v>
      </x:c>
      <x:c r="D584" s="83" t="n">
        <x:f>G578</x:f>
        <x:v>334.4102458436464</x:v>
      </x:c>
      <x:c r="E584" s="83" t="str">
        <x:f>IF(A584=0,"GRID",IF(D584&gt;=Control!$B$17,"FINISHED",IF(AND(A584&gt;=INDEX(Drivers!$G$8:$G$13,B584),A584&lt;INDEX(Drivers!$G$8:$G$13,B584)+INDEX(Drivers!$J$8:$J$13,B584)),"PIT",IF(MOD(A584+INDEX(Drivers!$F$8:$F$13,B584),Control!$B$11)&lt;Control!$B$13,"BOOST","RACE"))))</x:f>
        <x:v>PIT</x:v>
      </x:c>
      <x:c r="F584" s="83" t="n">
        <x:f>IF(OR(E584="GRID",E584="FINISHED",E584="PIT"),0,MAX(Control!$B$15,(INDEX(Drivers!$D$8:$D$13,B584)+INDEX(Drivers!$E$8:$E$13,B584)*SIN((A584+INDEX(Drivers!$F$8:$F$13,B584)+Control!$B$16)*Control!$B$14))*INDEX(TrackMap!$M$8:$M$141,MOD(INT(D584)-1,Control!$B$7)+1)*IF(E584="BOOST",Control!$B$12,1)))</x:f>
        <x:v>0</x:v>
      </x:c>
      <x:c r="G584" s="83" t="n">
        <x:f>IF(A584=0,D584,MIN(Control!$B$17,D584+F584))</x:f>
        <x:v>334.4102458436464</x:v>
      </x:c>
      <x:c r="H584" s="73" t="n">
        <x:f>MOD(INT(G584)-1,Control!$B$7)+1</x:f>
        <x:v>66</x:v>
      </x:c>
      <x:c r="I584" s="73" t="n">
        <x:f>MIN(Control!$B$6,MAX(1,INT(MAX(0,G584)/Control!$B$7)+1))</x:f>
        <x:v>3</x:v>
      </x:c>
      <x:c r="J584" s="73" t="n">
        <x:f>INDEX(Drivers!$H$8:$H$13,B584)</x:f>
        <x:v>1</x:v>
      </x:c>
      <x:c r="K584" s="73" t="n">
        <x:f>IF(J584=1,INDEX(TrackMap!$I$8:$I$141,H584),INDEX(TrackMap!$L$8:$L$141,H584))</x:f>
        <x:v>1639</x:v>
      </x:c>
      <x:c r="L584" s="73" t="str">
        <x:f>INDEX(TrackMap!$F$8:$F$141,H584)</x:f>
        <x:v>→</x:v>
      </x:c>
      <x:c r="M584" s="87" t="n">
        <x:f>MAX(0,G584/Control!$B$17)</x:f>
        <x:v>0.4991197699158902</x:v>
      </x:c>
      <x:c r="N584" s="73" t="n">
        <x:f>IF(N578&gt;0,N578,IF(G584&gt;=Control!$B$17,A584,0))</x:f>
        <x:v>0</x:v>
      </x:c>
      <x:c r="O584" s="91" t="n">
        <x:f>IF(N584&gt;0,Control!$B$17+Control!$B$8+1-N584,G584)-B584/100000</x:f>
        <x:v>334.41023584364643</x:v>
      </x:c>
      <x:c r="P584" s="73" t="n">
        <x:f>COUNTIF($O$584:$O$589,"&gt;"&amp;O584)+1</x:f>
        <x:v>2</x:v>
      </x:c>
      <x:c r="Q584" s="83" t="n">
        <x:f>MAX($G$584:$G$589)-G584</x:f>
        <x:v>1.1407727000237173</x:v>
      </x:c>
      <x:c r="R584" s="73" t="str">
        <x:f>INDEX(TrackMap!$B$8:$B$141,H584)</x:f>
        <x:v>中央高速直道</x:v>
      </x:c>
    </x:row>
    <x:row r="585" ht="20" customHeight="1">
      <x:c r="A585" s="73" t="n">
        <x:v>96</x:v>
      </x:c>
      <x:c r="B585" s="73" t="n">
        <x:v>2</x:v>
      </x:c>
      <x:c r="C585" s="73" t="str">
        <x:f>INDEX(Drivers!$B$8:$B$13,B585)</x:f>
        <x:v>蓝电</x:v>
      </x:c>
      <x:c r="D585" s="83" t="n">
        <x:f>G579</x:f>
        <x:v>325.03839022546555</x:v>
      </x:c>
      <x:c r="E585" s="83" t="str">
        <x:f>IF(A585=0,"GRID",IF(D585&gt;=Control!$B$17,"FINISHED",IF(AND(A585&gt;=INDEX(Drivers!$G$8:$G$13,B585),A585&lt;INDEX(Drivers!$G$8:$G$13,B585)+INDEX(Drivers!$J$8:$J$13,B585)),"PIT",IF(MOD(A585+INDEX(Drivers!$F$8:$F$13,B585),Control!$B$11)&lt;Control!$B$13,"BOOST","RACE"))))</x:f>
        <x:v>RACE</x:v>
      </x:c>
      <x:c r="F585" s="83" t="n">
        <x:f>IF(OR(E585="GRID",E585="FINISHED",E585="PIT"),0,MAX(Control!$B$15,(INDEX(Drivers!$D$8:$D$13,B585)+INDEX(Drivers!$E$8:$E$13,B585)*SIN((A585+INDEX(Drivers!$F$8:$F$13,B585)+Control!$B$16)*Control!$B$14))*INDEX(TrackMap!$M$8:$M$141,MOD(INT(D585)-1,Control!$B$7)+1)*IF(E585="BOOST",Control!$B$12,1)))</x:f>
        <x:v>3.1970156984950657</x:v>
      </x:c>
      <x:c r="G585" s="83" t="n">
        <x:f>IF(A585=0,D585,MIN(Control!$B$17,D585+F585))</x:f>
        <x:v>328.2354059239606</x:v>
      </x:c>
      <x:c r="H585" s="73" t="n">
        <x:f>MOD(INT(G585)-1,Control!$B$7)+1</x:f>
        <x:v>60</x:v>
      </x:c>
      <x:c r="I585" s="73" t="n">
        <x:f>MIN(Control!$B$6,MAX(1,INT(MAX(0,G585)/Control!$B$7)+1))</x:f>
        <x:v>3</x:v>
      </x:c>
      <x:c r="J585" s="73" t="n">
        <x:f>INDEX(Drivers!$H$8:$H$13,B585)</x:f>
        <x:v>2</x:v>
      </x:c>
      <x:c r="K585" s="73" t="n">
        <x:f>IF(J585=1,INDEX(TrackMap!$I$8:$I$141,H585),INDEX(TrackMap!$L$8:$L$141,H585))</x:f>
        <x:v>1533</x:v>
      </x:c>
      <x:c r="L585" s="73" t="str">
        <x:f>INDEX(TrackMap!$F$8:$F$141,H585)</x:f>
        <x:v>→</x:v>
      </x:c>
      <x:c r="M585" s="87" t="n">
        <x:f>MAX(0,G585/Control!$B$17)</x:f>
        <x:v>0.4899035909312845</x:v>
      </x:c>
      <x:c r="N585" s="73" t="n">
        <x:f>IF(N579&gt;0,N579,IF(G585&gt;=Control!$B$17,A585,0))</x:f>
        <x:v>0</x:v>
      </x:c>
      <x:c r="O585" s="91" t="n">
        <x:f>IF(N585&gt;0,Control!$B$17+Control!$B$8+1-N585,G585)-B585/100000</x:f>
        <x:v>328.2353859239606</x:v>
      </x:c>
      <x:c r="P585" s="73" t="n">
        <x:f>COUNTIF($O$584:$O$589,"&gt;"&amp;O585)+1</x:f>
        <x:v>5</x:v>
      </x:c>
      <x:c r="Q585" s="83" t="n">
        <x:f>MAX($G$584:$G$589)-G585</x:f>
        <x:v>7.315612619709498</x:v>
      </x:c>
      <x:c r="R585" s="73" t="str">
        <x:f>INDEX(TrackMap!$B$8:$B$141,H585)</x:f>
        <x:v>中央高速直道</x:v>
      </x:c>
    </x:row>
    <x:row r="586" ht="20" customHeight="1">
      <x:c r="A586" s="73" t="n">
        <x:v>96</x:v>
      </x:c>
      <x:c r="B586" s="73" t="n">
        <x:v>3</x:v>
      </x:c>
      <x:c r="C586" s="73" t="str">
        <x:f>INDEX(Drivers!$B$8:$B$13,B586)</x:f>
        <x:v>金翼</x:v>
      </x:c>
      <x:c r="D586" s="83" t="n">
        <x:f>G580</x:f>
        <x:v>331.3774984261792</x:v>
      </x:c>
      <x:c r="E586" s="83" t="str">
        <x:f>IF(A586=0,"GRID",IF(D586&gt;=Control!$B$17,"FINISHED",IF(AND(A586&gt;=INDEX(Drivers!$G$8:$G$13,B586),A586&lt;INDEX(Drivers!$G$8:$G$13,B586)+INDEX(Drivers!$J$8:$J$13,B586)),"PIT",IF(MOD(A586+INDEX(Drivers!$F$8:$F$13,B586),Control!$B$11)&lt;Control!$B$13,"BOOST","RACE"))))</x:f>
        <x:v>RACE</x:v>
      </x:c>
      <x:c r="F586" s="83" t="n">
        <x:f>IF(OR(E586="GRID",E586="FINISHED",E586="PIT"),0,MAX(Control!$B$15,(INDEX(Drivers!$D$8:$D$13,B586)+INDEX(Drivers!$E$8:$E$13,B586)*SIN((A586+INDEX(Drivers!$F$8:$F$13,B586)+Control!$B$16)*Control!$B$14))*INDEX(TrackMap!$M$8:$M$141,MOD(INT(D586)-1,Control!$B$7)+1)*IF(E586="BOOST",Control!$B$12,1)))</x:f>
        <x:v>4.173520117490936</x:v>
      </x:c>
      <x:c r="G586" s="83" t="n">
        <x:f>IF(A586=0,D586,MIN(Control!$B$17,D586+F586))</x:f>
        <x:v>335.5510185436701</x:v>
      </x:c>
      <x:c r="H586" s="73" t="n">
        <x:f>MOD(INT(G586)-1,Control!$B$7)+1</x:f>
        <x:v>67</x:v>
      </x:c>
      <x:c r="I586" s="73" t="n">
        <x:f>MIN(Control!$B$6,MAX(1,INT(MAX(0,G586)/Control!$B$7)+1))</x:f>
        <x:v>3</x:v>
      </x:c>
      <x:c r="J586" s="73" t="n">
        <x:f>INDEX(Drivers!$H$8:$H$13,B586)</x:f>
        <x:v>1</x:v>
      </x:c>
      <x:c r="K586" s="73" t="n">
        <x:f>IF(J586=1,INDEX(TrackMap!$I$8:$I$141,H586),INDEX(TrackMap!$L$8:$L$141,H586))</x:f>
        <x:v>1640</x:v>
      </x:c>
      <x:c r="L586" s="73" t="str">
        <x:f>INDEX(TrackMap!$F$8:$F$141,H586)</x:f>
        <x:v>→</x:v>
      </x:c>
      <x:c r="M586" s="87" t="n">
        <x:f>MAX(0,G586/Control!$B$17)</x:f>
        <x:v>0.5008224157368211</x:v>
      </x:c>
      <x:c r="N586" s="73" t="n">
        <x:f>IF(N580&gt;0,N580,IF(G586&gt;=Control!$B$17,A586,0))</x:f>
        <x:v>0</x:v>
      </x:c>
      <x:c r="O586" s="91" t="n">
        <x:f>IF(N586&gt;0,Control!$B$17+Control!$B$8+1-N586,G586)-B586/100000</x:f>
        <x:v>335.55098854367014</x:v>
      </x:c>
      <x:c r="P586" s="73" t="n">
        <x:f>COUNTIF($O$584:$O$589,"&gt;"&amp;O586)+1</x:f>
        <x:v>1</x:v>
      </x:c>
      <x:c r="Q586" s="83" t="n">
        <x:f>MAX($G$584:$G$589)-G586</x:f>
        <x:v>0</x:v>
      </x:c>
      <x:c r="R586" s="73" t="str">
        <x:f>INDEX(TrackMap!$B$8:$B$141,H586)</x:f>
        <x:v>中央高速直道</x:v>
      </x:c>
    </x:row>
    <x:row r="587" ht="20" customHeight="1">
      <x:c r="A587" s="73" t="n">
        <x:v>96</x:v>
      </x:c>
      <x:c r="B587" s="73" t="n">
        <x:v>4</x:v>
      </x:c>
      <x:c r="C587" s="73" t="str">
        <x:f>INDEX(Drivers!$B$8:$B$13,B587)</x:f>
        <x:v>紫影</x:v>
      </x:c>
      <x:c r="D587" s="83" t="n">
        <x:f>G581</x:f>
        <x:v>324.7691203414428</x:v>
      </x:c>
      <x:c r="E587" s="83" t="str">
        <x:f>IF(A587=0,"GRID",IF(D587&gt;=Control!$B$17,"FINISHED",IF(AND(A587&gt;=INDEX(Drivers!$G$8:$G$13,B587),A587&lt;INDEX(Drivers!$G$8:$G$13,B587)+INDEX(Drivers!$J$8:$J$13,B587)),"PIT",IF(MOD(A587+INDEX(Drivers!$F$8:$F$13,B587),Control!$B$11)&lt;Control!$B$13,"BOOST","RACE"))))</x:f>
        <x:v>RACE</x:v>
      </x:c>
      <x:c r="F587" s="83" t="n">
        <x:f>IF(OR(E587="GRID",E587="FINISHED",E587="PIT"),0,MAX(Control!$B$15,(INDEX(Drivers!$D$8:$D$13,B587)+INDEX(Drivers!$E$8:$E$13,B587)*SIN((A587+INDEX(Drivers!$F$8:$F$13,B587)+Control!$B$16)*Control!$B$14))*INDEX(TrackMap!$M$8:$M$141,MOD(INT(D587)-1,Control!$B$7)+1)*IF(E587="BOOST",Control!$B$12,1)))</x:f>
        <x:v>3.0345788305242216</x:v>
      </x:c>
      <x:c r="G587" s="83" t="n">
        <x:f>IF(A587=0,D587,MIN(Control!$B$17,D587+F587))</x:f>
        <x:v>327.80369917196697</x:v>
      </x:c>
      <x:c r="H587" s="73" t="n">
        <x:f>MOD(INT(G587)-1,Control!$B$7)+1</x:f>
        <x:v>59</x:v>
      </x:c>
      <x:c r="I587" s="73" t="n">
        <x:f>MIN(Control!$B$6,MAX(1,INT(MAX(0,G587)/Control!$B$7)+1))</x:f>
        <x:v>3</x:v>
      </x:c>
      <x:c r="J587" s="73" t="n">
        <x:f>INDEX(Drivers!$H$8:$H$13,B587)</x:f>
        <x:v>2</x:v>
      </x:c>
      <x:c r="K587" s="73" t="n">
        <x:f>IF(J587=1,INDEX(TrackMap!$I$8:$I$141,H587),INDEX(TrackMap!$L$8:$L$141,H587))</x:f>
        <x:v>1532</x:v>
      </x:c>
      <x:c r="L587" s="73" t="str">
        <x:f>INDEX(TrackMap!$F$8:$F$141,H587)</x:f>
        <x:v>→</x:v>
      </x:c>
      <x:c r="M587" s="87" t="n">
        <x:f>MAX(0,G587/Control!$B$17)</x:f>
        <x:v>0.4892592524954731</x:v>
      </x:c>
      <x:c r="N587" s="73" t="n">
        <x:f>IF(N581&gt;0,N581,IF(G587&gt;=Control!$B$17,A587,0))</x:f>
        <x:v>0</x:v>
      </x:c>
      <x:c r="O587" s="91" t="n">
        <x:f>IF(N587&gt;0,Control!$B$17+Control!$B$8+1-N587,G587)-B587/100000</x:f>
        <x:v>327.80365917196696</x:v>
      </x:c>
      <x:c r="P587" s="73" t="n">
        <x:f>COUNTIF($O$584:$O$589,"&gt;"&amp;O587)+1</x:f>
        <x:v>6</x:v>
      </x:c>
      <x:c r="Q587" s="83" t="n">
        <x:f>MAX($G$584:$G$589)-G587</x:f>
        <x:v>7.747319371703156</x:v>
      </x:c>
      <x:c r="R587" s="73" t="str">
        <x:f>INDEX(TrackMap!$B$8:$B$141,H587)</x:f>
        <x:v>中央高速直道</x:v>
      </x:c>
    </x:row>
    <x:row r="588" ht="20" customHeight="1">
      <x:c r="A588" s="73" t="n">
        <x:v>96</x:v>
      </x:c>
      <x:c r="B588" s="73" t="n">
        <x:v>5</x:v>
      </x:c>
      <x:c r="C588" s="73" t="str">
        <x:f>INDEX(Drivers!$B$8:$B$13,B588)</x:f>
        <x:v>青锋</x:v>
      </x:c>
      <x:c r="D588" s="83" t="n">
        <x:f>G582</x:f>
        <x:v>328.27834601510176</x:v>
      </x:c>
      <x:c r="E588" s="83" t="str">
        <x:f>IF(A588=0,"GRID",IF(D588&gt;=Control!$B$17,"FINISHED",IF(AND(A588&gt;=INDEX(Drivers!$G$8:$G$13,B588),A588&lt;INDEX(Drivers!$G$8:$G$13,B588)+INDEX(Drivers!$J$8:$J$13,B588)),"PIT",IF(MOD(A588+INDEX(Drivers!$F$8:$F$13,B588),Control!$B$11)&lt;Control!$B$13,"BOOST","RACE"))))</x:f>
        <x:v>RACE</x:v>
      </x:c>
      <x:c r="F588" s="83" t="n">
        <x:f>IF(OR(E588="GRID",E588="FINISHED",E588="PIT"),0,MAX(Control!$B$15,(INDEX(Drivers!$D$8:$D$13,B588)+INDEX(Drivers!$E$8:$E$13,B588)*SIN((A588+INDEX(Drivers!$F$8:$F$13,B588)+Control!$B$16)*Control!$B$14))*INDEX(TrackMap!$M$8:$M$141,MOD(INT(D588)-1,Control!$B$7)+1)*IF(E588="BOOST",Control!$B$12,1)))</x:f>
        <x:v>3.1238719648391164</x:v>
      </x:c>
      <x:c r="G588" s="83" t="n">
        <x:f>IF(A588=0,D588,MIN(Control!$B$17,D588+F588))</x:f>
        <x:v>331.4022179799409</x:v>
      </x:c>
      <x:c r="H588" s="73" t="n">
        <x:f>MOD(INT(G588)-1,Control!$B$7)+1</x:f>
        <x:v>63</x:v>
      </x:c>
      <x:c r="I588" s="73" t="n">
        <x:f>MIN(Control!$B$6,MAX(1,INT(MAX(0,G588)/Control!$B$7)+1))</x:f>
        <x:v>3</x:v>
      </x:c>
      <x:c r="J588" s="73" t="n">
        <x:f>INDEX(Drivers!$H$8:$H$13,B588)</x:f>
        <x:v>1</x:v>
      </x:c>
      <x:c r="K588" s="73" t="n">
        <x:f>IF(J588=1,INDEX(TrackMap!$I$8:$I$141,H588),INDEX(TrackMap!$L$8:$L$141,H588))</x:f>
        <x:v>1636</x:v>
      </x:c>
      <x:c r="L588" s="73" t="str">
        <x:f>INDEX(TrackMap!$F$8:$F$141,H588)</x:f>
        <x:v>→</x:v>
      </x:c>
      <x:c r="M588" s="87" t="n">
        <x:f>MAX(0,G588/Control!$B$17)</x:f>
        <x:v>0.49463017608946397</x:v>
      </x:c>
      <x:c r="N588" s="73" t="n">
        <x:f>IF(N582&gt;0,N582,IF(G588&gt;=Control!$B$17,A588,0))</x:f>
        <x:v>0</x:v>
      </x:c>
      <x:c r="O588" s="91" t="n">
        <x:f>IF(N588&gt;0,Control!$B$17+Control!$B$8+1-N588,G588)-B588/100000</x:f>
        <x:v>331.4021679799409</x:v>
      </x:c>
      <x:c r="P588" s="73" t="n">
        <x:f>COUNTIF($O$584:$O$589,"&gt;"&amp;O588)+1</x:f>
        <x:v>3</x:v>
      </x:c>
      <x:c r="Q588" s="83" t="n">
        <x:f>MAX($G$584:$G$589)-G588</x:f>
        <x:v>4.148800563729253</x:v>
      </x:c>
      <x:c r="R588" s="73" t="str">
        <x:f>INDEX(TrackMap!$B$8:$B$141,H588)</x:f>
        <x:v>中央高速直道</x:v>
      </x:c>
    </x:row>
    <x:row r="589" ht="20" customHeight="1">
      <x:c r="A589" s="73" t="n">
        <x:v>96</x:v>
      </x:c>
      <x:c r="B589" s="73" t="n">
        <x:v>6</x:v>
      </x:c>
      <x:c r="C589" s="73" t="str">
        <x:f>INDEX(Drivers!$B$8:$B$13,B589)</x:f>
        <x:v>玫速</x:v>
      </x:c>
      <x:c r="D589" s="83" t="n">
        <x:f>G583</x:f>
        <x:v>325.23579471076266</x:v>
      </x:c>
      <x:c r="E589" s="83" t="str">
        <x:f>IF(A589=0,"GRID",IF(D589&gt;=Control!$B$17,"FINISHED",IF(AND(A589&gt;=INDEX(Drivers!$G$8:$G$13,B589),A589&lt;INDEX(Drivers!$G$8:$G$13,B589)+INDEX(Drivers!$J$8:$J$13,B589)),"PIT",IF(MOD(A589+INDEX(Drivers!$F$8:$F$13,B589),Control!$B$11)&lt;Control!$B$13,"BOOST","RACE"))))</x:f>
        <x:v>RACE</x:v>
      </x:c>
      <x:c r="F589" s="83" t="n">
        <x:f>IF(OR(E589="GRID",E589="FINISHED",E589="PIT"),0,MAX(Control!$B$15,(INDEX(Drivers!$D$8:$D$13,B589)+INDEX(Drivers!$E$8:$E$13,B589)*SIN((A589+INDEX(Drivers!$F$8:$F$13,B589)+Control!$B$16)*Control!$B$14))*INDEX(TrackMap!$M$8:$M$141,MOD(INT(D589)-1,Control!$B$7)+1)*IF(E589="BOOST",Control!$B$12,1)))</x:f>
        <x:v>4.105240736696753</x:v>
      </x:c>
      <x:c r="G589" s="83" t="n">
        <x:f>IF(A589=0,D589,MIN(Control!$B$17,D589+F589))</x:f>
        <x:v>329.34103544745943</x:v>
      </x:c>
      <x:c r="H589" s="73" t="n">
        <x:f>MOD(INT(G589)-1,Control!$B$7)+1</x:f>
        <x:v>61</x:v>
      </x:c>
      <x:c r="I589" s="73" t="n">
        <x:f>MIN(Control!$B$6,MAX(1,INT(MAX(0,G589)/Control!$B$7)+1))</x:f>
        <x:v>3</x:v>
      </x:c>
      <x:c r="J589" s="73" t="n">
        <x:f>INDEX(Drivers!$H$8:$H$13,B589)</x:f>
        <x:v>2</x:v>
      </x:c>
      <x:c r="K589" s="73" t="n">
        <x:f>IF(J589=1,INDEX(TrackMap!$I$8:$I$141,H589),INDEX(TrackMap!$L$8:$L$141,H589))</x:f>
        <x:v>1534</x:v>
      </x:c>
      <x:c r="L589" s="73" t="str">
        <x:f>INDEX(TrackMap!$F$8:$F$141,H589)</x:f>
        <x:v>→</x:v>
      </x:c>
      <x:c r="M589" s="87" t="n">
        <x:f>MAX(0,G589/Control!$B$17)</x:f>
        <x:v>0.49155378424993945</x:v>
      </x:c>
      <x:c r="N589" s="73" t="n">
        <x:f>IF(N583&gt;0,N583,IF(G589&gt;=Control!$B$17,A589,0))</x:f>
        <x:v>0</x:v>
      </x:c>
      <x:c r="O589" s="91" t="n">
        <x:f>IF(N589&gt;0,Control!$B$17+Control!$B$8+1-N589,G589)-B589/100000</x:f>
        <x:v>329.3409754474594</x:v>
      </x:c>
      <x:c r="P589" s="73" t="n">
        <x:f>COUNTIF($O$584:$O$589,"&gt;"&amp;O589)+1</x:f>
        <x:v>4</x:v>
      </x:c>
      <x:c r="Q589" s="83" t="n">
        <x:f>MAX($G$584:$G$589)-G589</x:f>
        <x:v>6.209983096210692</x:v>
      </x:c>
      <x:c r="R589" s="73" t="str">
        <x:f>INDEX(TrackMap!$B$8:$B$141,H589)</x:f>
        <x:v>中央高速直道</x:v>
      </x:c>
    </x:row>
    <x:row r="590" ht="20" customHeight="1">
      <x:c r="A590" s="73" t="n">
        <x:v>97</x:v>
      </x:c>
      <x:c r="B590" s="73" t="n">
        <x:v>1</x:v>
      </x:c>
      <x:c r="C590" s="73" t="str">
        <x:f>INDEX(Drivers!$B$8:$B$13,B590)</x:f>
        <x:v>赤焰</x:v>
      </x:c>
      <x:c r="D590" s="83" t="n">
        <x:f>G584</x:f>
        <x:v>334.4102458436464</x:v>
      </x:c>
      <x:c r="E590" s="83" t="str">
        <x:f>IF(A590=0,"GRID",IF(D590&gt;=Control!$B$17,"FINISHED",IF(AND(A590&gt;=INDEX(Drivers!$G$8:$G$13,B590),A590&lt;INDEX(Drivers!$G$8:$G$13,B590)+INDEX(Drivers!$J$8:$J$13,B590)),"PIT",IF(MOD(A590+INDEX(Drivers!$F$8:$F$13,B590),Control!$B$11)&lt;Control!$B$13,"BOOST","RACE"))))</x:f>
        <x:v>PIT</x:v>
      </x:c>
      <x:c r="F590" s="83" t="n">
        <x:f>IF(OR(E590="GRID",E590="FINISHED",E590="PIT"),0,MAX(Control!$B$15,(INDEX(Drivers!$D$8:$D$13,B590)+INDEX(Drivers!$E$8:$E$13,B590)*SIN((A590+INDEX(Drivers!$F$8:$F$13,B590)+Control!$B$16)*Control!$B$14))*INDEX(TrackMap!$M$8:$M$141,MOD(INT(D590)-1,Control!$B$7)+1)*IF(E590="BOOST",Control!$B$12,1)))</x:f>
        <x:v>0</x:v>
      </x:c>
      <x:c r="G590" s="83" t="n">
        <x:f>IF(A590=0,D590,MIN(Control!$B$17,D590+F590))</x:f>
        <x:v>334.4102458436464</x:v>
      </x:c>
      <x:c r="H590" s="73" t="n">
        <x:f>MOD(INT(G590)-1,Control!$B$7)+1</x:f>
        <x:v>66</x:v>
      </x:c>
      <x:c r="I590" s="73" t="n">
        <x:f>MIN(Control!$B$6,MAX(1,INT(MAX(0,G590)/Control!$B$7)+1))</x:f>
        <x:v>3</x:v>
      </x:c>
      <x:c r="J590" s="73" t="n">
        <x:f>INDEX(Drivers!$H$8:$H$13,B590)</x:f>
        <x:v>1</x:v>
      </x:c>
      <x:c r="K590" s="73" t="n">
        <x:f>IF(J590=1,INDEX(TrackMap!$I$8:$I$141,H590),INDEX(TrackMap!$L$8:$L$141,H590))</x:f>
        <x:v>1639</x:v>
      </x:c>
      <x:c r="L590" s="73" t="str">
        <x:f>INDEX(TrackMap!$F$8:$F$141,H590)</x:f>
        <x:v>→</x:v>
      </x:c>
      <x:c r="M590" s="87" t="n">
        <x:f>MAX(0,G590/Control!$B$17)</x:f>
        <x:v>0.4991197699158902</x:v>
      </x:c>
      <x:c r="N590" s="73" t="n">
        <x:f>IF(N584&gt;0,N584,IF(G590&gt;=Control!$B$17,A590,0))</x:f>
        <x:v>0</x:v>
      </x:c>
      <x:c r="O590" s="91" t="n">
        <x:f>IF(N590&gt;0,Control!$B$17+Control!$B$8+1-N590,G590)-B590/100000</x:f>
        <x:v>334.41023584364643</x:v>
      </x:c>
      <x:c r="P590" s="73" t="n">
        <x:f>COUNTIF($O$590:$O$595,"&gt;"&amp;O590)+1</x:f>
        <x:v>3</x:v>
      </x:c>
      <x:c r="Q590" s="83" t="n">
        <x:f>MAX($G$590:$G$595)-G590</x:f>
        <x:v>5.224188398585625</x:v>
      </x:c>
      <x:c r="R590" s="73" t="str">
        <x:f>INDEX(TrackMap!$B$8:$B$141,H590)</x:f>
        <x:v>中央高速直道</x:v>
      </x:c>
    </x:row>
    <x:row r="591" ht="20" customHeight="1">
      <x:c r="A591" s="73" t="n">
        <x:v>97</x:v>
      </x:c>
      <x:c r="B591" s="73" t="n">
        <x:v>2</x:v>
      </x:c>
      <x:c r="C591" s="73" t="str">
        <x:f>INDEX(Drivers!$B$8:$B$13,B591)</x:f>
        <x:v>蓝电</x:v>
      </x:c>
      <x:c r="D591" s="83" t="n">
        <x:f>G585</x:f>
        <x:v>328.2354059239606</x:v>
      </x:c>
      <x:c r="E591" s="83" t="str">
        <x:f>IF(A591=0,"GRID",IF(D591&gt;=Control!$B$17,"FINISHED",IF(AND(A591&gt;=INDEX(Drivers!$G$8:$G$13,B591),A591&lt;INDEX(Drivers!$G$8:$G$13,B591)+INDEX(Drivers!$J$8:$J$13,B591)),"PIT",IF(MOD(A591+INDEX(Drivers!$F$8:$F$13,B591),Control!$B$11)&lt;Control!$B$13,"BOOST","RACE"))))</x:f>
        <x:v>RACE</x:v>
      </x:c>
      <x:c r="F591" s="83" t="n">
        <x:f>IF(OR(E591="GRID",E591="FINISHED",E591="PIT"),0,MAX(Control!$B$15,(INDEX(Drivers!$D$8:$D$13,B591)+INDEX(Drivers!$E$8:$E$13,B591)*SIN((A591+INDEX(Drivers!$F$8:$F$13,B591)+Control!$B$16)*Control!$B$14))*INDEX(TrackMap!$M$8:$M$141,MOD(INT(D591)-1,Control!$B$7)+1)*IF(E591="BOOST",Control!$B$12,1)))</x:f>
        <x:v>3.3899522409307536</x:v>
      </x:c>
      <x:c r="G591" s="83" t="n">
        <x:f>IF(A591=0,D591,MIN(Control!$B$17,D591+F591))</x:f>
        <x:v>331.6253581648914</x:v>
      </x:c>
      <x:c r="H591" s="73" t="n">
        <x:f>MOD(INT(G591)-1,Control!$B$7)+1</x:f>
        <x:v>63</x:v>
      </x:c>
      <x:c r="I591" s="73" t="n">
        <x:f>MIN(Control!$B$6,MAX(1,INT(MAX(0,G591)/Control!$B$7)+1))</x:f>
        <x:v>3</x:v>
      </x:c>
      <x:c r="J591" s="73" t="n">
        <x:f>INDEX(Drivers!$H$8:$H$13,B591)</x:f>
        <x:v>2</x:v>
      </x:c>
      <x:c r="K591" s="73" t="n">
        <x:f>IF(J591=1,INDEX(TrackMap!$I$8:$I$141,H591),INDEX(TrackMap!$L$8:$L$141,H591))</x:f>
        <x:v>1536</x:v>
      </x:c>
      <x:c r="L591" s="73" t="str">
        <x:f>INDEX(TrackMap!$F$8:$F$141,H591)</x:f>
        <x:v>→</x:v>
      </x:c>
      <x:c r="M591" s="87" t="n">
        <x:f>MAX(0,G591/Control!$B$17)</x:f>
        <x:v>0.49496322114162894</x:v>
      </x:c>
      <x:c r="N591" s="73" t="n">
        <x:f>IF(N585&gt;0,N585,IF(G591&gt;=Control!$B$17,A591,0))</x:f>
        <x:v>0</x:v>
      </x:c>
      <x:c r="O591" s="91" t="n">
        <x:f>IF(N591&gt;0,Control!$B$17+Control!$B$8+1-N591,G591)-B591/100000</x:f>
        <x:v>331.6253381648914</x:v>
      </x:c>
      <x:c r="P591" s="73" t="n">
        <x:f>COUNTIF($O$590:$O$595,"&gt;"&amp;O591)+1</x:f>
        <x:v>5</x:v>
      </x:c>
      <x:c r="Q591" s="83" t="n">
        <x:f>MAX($G$590:$G$595)-G591</x:f>
        <x:v>8.009076077340637</x:v>
      </x:c>
      <x:c r="R591" s="73" t="str">
        <x:f>INDEX(TrackMap!$B$8:$B$141,H591)</x:f>
        <x:v>中央高速直道</x:v>
      </x:c>
    </x:row>
    <x:row r="592" ht="20" customHeight="1">
      <x:c r="A592" s="73" t="n">
        <x:v>97</x:v>
      </x:c>
      <x:c r="B592" s="73" t="n">
        <x:v>3</x:v>
      </x:c>
      <x:c r="C592" s="73" t="str">
        <x:f>INDEX(Drivers!$B$8:$B$13,B592)</x:f>
        <x:v>金翼</x:v>
      </x:c>
      <x:c r="D592" s="83" t="n">
        <x:f>G586</x:f>
        <x:v>335.5510185436701</x:v>
      </x:c>
      <x:c r="E592" s="83" t="str">
        <x:f>IF(A592=0,"GRID",IF(D592&gt;=Control!$B$17,"FINISHED",IF(AND(A592&gt;=INDEX(Drivers!$G$8:$G$13,B592),A592&lt;INDEX(Drivers!$G$8:$G$13,B592)+INDEX(Drivers!$J$8:$J$13,B592)),"PIT",IF(MOD(A592+INDEX(Drivers!$F$8:$F$13,B592),Control!$B$11)&lt;Control!$B$13,"BOOST","RACE"))))</x:f>
        <x:v>RACE</x:v>
      </x:c>
      <x:c r="F592" s="83" t="n">
        <x:f>IF(OR(E592="GRID",E592="FINISHED",E592="PIT"),0,MAX(Control!$B$15,(INDEX(Drivers!$D$8:$D$13,B592)+INDEX(Drivers!$E$8:$E$13,B592)*SIN((A592+INDEX(Drivers!$F$8:$F$13,B592)+Control!$B$16)*Control!$B$14))*INDEX(TrackMap!$M$8:$M$141,MOD(INT(D592)-1,Control!$B$7)+1)*IF(E592="BOOST",Control!$B$12,1)))</x:f>
        <x:v>4.083415698561936</x:v>
      </x:c>
      <x:c r="G592" s="83" t="n">
        <x:f>IF(A592=0,D592,MIN(Control!$B$17,D592+F592))</x:f>
        <x:v>339.63443424223203</x:v>
      </x:c>
      <x:c r="H592" s="73" t="n">
        <x:f>MOD(INT(G592)-1,Control!$B$7)+1</x:f>
        <x:v>71</x:v>
      </x:c>
      <x:c r="I592" s="73" t="n">
        <x:f>MIN(Control!$B$6,MAX(1,INT(MAX(0,G592)/Control!$B$7)+1))</x:f>
        <x:v>3</x:v>
      </x:c>
      <x:c r="J592" s="73" t="n">
        <x:f>INDEX(Drivers!$H$8:$H$13,B592)</x:f>
        <x:v>1</x:v>
      </x:c>
      <x:c r="K592" s="73" t="n">
        <x:f>IF(J592=1,INDEX(TrackMap!$I$8:$I$141,H592),INDEX(TrackMap!$L$8:$L$141,H592))</x:f>
        <x:v>1644</x:v>
      </x:c>
      <x:c r="L592" s="73" t="str">
        <x:f>INDEX(TrackMap!$F$8:$F$141,H592)</x:f>
        <x:v>→</x:v>
      </x:c>
      <x:c r="M592" s="87" t="n">
        <x:f>MAX(0,G592/Control!$B$17)</x:f>
        <x:v>0.5069170660331821</x:v>
      </x:c>
      <x:c r="N592" s="73" t="n">
        <x:f>IF(N586&gt;0,N586,IF(G592&gt;=Control!$B$17,A592,0))</x:f>
        <x:v>0</x:v>
      </x:c>
      <x:c r="O592" s="91" t="n">
        <x:f>IF(N592&gt;0,Control!$B$17+Control!$B$8+1-N592,G592)-B592/100000</x:f>
        <x:v>339.63440424223205</x:v>
      </x:c>
      <x:c r="P592" s="73" t="n">
        <x:f>COUNTIF($O$590:$O$595,"&gt;"&amp;O592)+1</x:f>
        <x:v>1</x:v>
      </x:c>
      <x:c r="Q592" s="83" t="n">
        <x:f>MAX($G$590:$G$595)-G592</x:f>
        <x:v>0</x:v>
      </x:c>
      <x:c r="R592" s="73" t="str">
        <x:f>INDEX(TrackMap!$B$8:$B$141,H592)</x:f>
        <x:v>中央高速直道</x:v>
      </x:c>
    </x:row>
    <x:row r="593" ht="20" customHeight="1">
      <x:c r="A593" s="73" t="n">
        <x:v>97</x:v>
      </x:c>
      <x:c r="B593" s="73" t="n">
        <x:v>4</x:v>
      </x:c>
      <x:c r="C593" s="73" t="str">
        <x:f>INDEX(Drivers!$B$8:$B$13,B593)</x:f>
        <x:v>紫影</x:v>
      </x:c>
      <x:c r="D593" s="83" t="n">
        <x:f>G587</x:f>
        <x:v>327.80369917196697</x:v>
      </x:c>
      <x:c r="E593" s="83" t="str">
        <x:f>IF(A593=0,"GRID",IF(D593&gt;=Control!$B$17,"FINISHED",IF(AND(A593&gt;=INDEX(Drivers!$G$8:$G$13,B593),A593&lt;INDEX(Drivers!$G$8:$G$13,B593)+INDEX(Drivers!$J$8:$J$13,B593)),"PIT",IF(MOD(A593+INDEX(Drivers!$F$8:$F$13,B593),Control!$B$11)&lt;Control!$B$13,"BOOST","RACE"))))</x:f>
        <x:v>RACE</x:v>
      </x:c>
      <x:c r="F593" s="83" t="n">
        <x:f>IF(OR(E593="GRID",E593="FINISHED",E593="PIT"),0,MAX(Control!$B$15,(INDEX(Drivers!$D$8:$D$13,B593)+INDEX(Drivers!$E$8:$E$13,B593)*SIN((A593+INDEX(Drivers!$F$8:$F$13,B593)+Control!$B$16)*Control!$B$14))*INDEX(TrackMap!$M$8:$M$141,MOD(INT(D593)-1,Control!$B$7)+1)*IF(E593="BOOST",Control!$B$12,1)))</x:f>
        <x:v>3.0261129068756087</x:v>
      </x:c>
      <x:c r="G593" s="83" t="n">
        <x:f>IF(A593=0,D593,MIN(Control!$B$17,D593+F593))</x:f>
        <x:v>330.82981207884256</x:v>
      </x:c>
      <x:c r="H593" s="73" t="n">
        <x:f>MOD(INT(G593)-1,Control!$B$7)+1</x:f>
        <x:v>62</x:v>
      </x:c>
      <x:c r="I593" s="73" t="n">
        <x:f>MIN(Control!$B$6,MAX(1,INT(MAX(0,G593)/Control!$B$7)+1))</x:f>
        <x:v>3</x:v>
      </x:c>
      <x:c r="J593" s="73" t="n">
        <x:f>INDEX(Drivers!$H$8:$H$13,B593)</x:f>
        <x:v>2</x:v>
      </x:c>
      <x:c r="K593" s="73" t="n">
        <x:f>IF(J593=1,INDEX(TrackMap!$I$8:$I$141,H593),INDEX(TrackMap!$L$8:$L$141,H593))</x:f>
        <x:v>1535</x:v>
      </x:c>
      <x:c r="L593" s="73" t="str">
        <x:f>INDEX(TrackMap!$F$8:$F$141,H593)</x:f>
        <x:v>→</x:v>
      </x:c>
      <x:c r="M593" s="87" t="n">
        <x:f>MAX(0,G593/Control!$B$17)</x:f>
        <x:v>0.4937758389236456</x:v>
      </x:c>
      <x:c r="N593" s="73" t="n">
        <x:f>IF(N587&gt;0,N587,IF(G593&gt;=Control!$B$17,A593,0))</x:f>
        <x:v>0</x:v>
      </x:c>
      <x:c r="O593" s="91" t="n">
        <x:f>IF(N593&gt;0,Control!$B$17+Control!$B$8+1-N593,G593)-B593/100000</x:f>
        <x:v>330.82977207884255</x:v>
      </x:c>
      <x:c r="P593" s="73" t="n">
        <x:f>COUNTIF($O$590:$O$595,"&gt;"&amp;O593)+1</x:f>
        <x:v>6</x:v>
      </x:c>
      <x:c r="Q593" s="83" t="n">
        <x:f>MAX($G$590:$G$595)-G593</x:f>
        <x:v>8.804622163389467</x:v>
      </x:c>
      <x:c r="R593" s="73" t="str">
        <x:f>INDEX(TrackMap!$B$8:$B$141,H593)</x:f>
        <x:v>中央高速直道</x:v>
      </x:c>
    </x:row>
    <x:row r="594" ht="20" customHeight="1">
      <x:c r="A594" s="73" t="n">
        <x:v>97</x:v>
      </x:c>
      <x:c r="B594" s="73" t="n">
        <x:v>5</x:v>
      </x:c>
      <x:c r="C594" s="73" t="str">
        <x:f>INDEX(Drivers!$B$8:$B$13,B594)</x:f>
        <x:v>青锋</x:v>
      </x:c>
      <x:c r="D594" s="83" t="n">
        <x:f>G588</x:f>
        <x:v>331.4022179799409</x:v>
      </x:c>
      <x:c r="E594" s="83" t="str">
        <x:f>IF(A594=0,"GRID",IF(D594&gt;=Control!$B$17,"FINISHED",IF(AND(A594&gt;=INDEX(Drivers!$G$8:$G$13,B594),A594&lt;INDEX(Drivers!$G$8:$G$13,B594)+INDEX(Drivers!$J$8:$J$13,B594)),"PIT",IF(MOD(A594+INDEX(Drivers!$F$8:$F$13,B594),Control!$B$11)&lt;Control!$B$13,"BOOST","RACE"))))</x:f>
        <x:v>RACE</x:v>
      </x:c>
      <x:c r="F594" s="83" t="n">
        <x:f>IF(OR(E594="GRID",E594="FINISHED",E594="PIT"),0,MAX(Control!$B$15,(INDEX(Drivers!$D$8:$D$13,B594)+INDEX(Drivers!$E$8:$E$13,B594)*SIN((A594+INDEX(Drivers!$F$8:$F$13,B594)+Control!$B$16)*Control!$B$14))*INDEX(TrackMap!$M$8:$M$141,MOD(INT(D594)-1,Control!$B$7)+1)*IF(E594="BOOST",Control!$B$12,1)))</x:f>
        <x:v>3.1149793585409187</x:v>
      </x:c>
      <x:c r="G594" s="83" t="n">
        <x:f>IF(A594=0,D594,MIN(Control!$B$17,D594+F594))</x:f>
        <x:v>334.51719733848176</x:v>
      </x:c>
      <x:c r="H594" s="73" t="n">
        <x:f>MOD(INT(G594)-1,Control!$B$7)+1</x:f>
        <x:v>66</x:v>
      </x:c>
      <x:c r="I594" s="73" t="n">
        <x:f>MIN(Control!$B$6,MAX(1,INT(MAX(0,G594)/Control!$B$7)+1))</x:f>
        <x:v>3</x:v>
      </x:c>
      <x:c r="J594" s="73" t="n">
        <x:f>INDEX(Drivers!$H$8:$H$13,B594)</x:f>
        <x:v>1</x:v>
      </x:c>
      <x:c r="K594" s="73" t="n">
        <x:f>IF(J594=1,INDEX(TrackMap!$I$8:$I$141,H594),INDEX(TrackMap!$L$8:$L$141,H594))</x:f>
        <x:v>1639</x:v>
      </x:c>
      <x:c r="L594" s="73" t="str">
        <x:f>INDEX(TrackMap!$F$8:$F$141,H594)</x:f>
        <x:v>→</x:v>
      </x:c>
      <x:c r="M594" s="87" t="n">
        <x:f>MAX(0,G594/Control!$B$17)</x:f>
        <x:v>0.49927939901265933</x:v>
      </x:c>
      <x:c r="N594" s="73" t="n">
        <x:f>IF(N588&gt;0,N588,IF(G594&gt;=Control!$B$17,A594,0))</x:f>
        <x:v>0</x:v>
      </x:c>
      <x:c r="O594" s="91" t="n">
        <x:f>IF(N594&gt;0,Control!$B$17+Control!$B$8+1-N594,G594)-B594/100000</x:f>
        <x:v>334.5171473384818</x:v>
      </x:c>
      <x:c r="P594" s="73" t="n">
        <x:f>COUNTIF($O$590:$O$595,"&gt;"&amp;O594)+1</x:f>
        <x:v>2</x:v>
      </x:c>
      <x:c r="Q594" s="83" t="n">
        <x:f>MAX($G$590:$G$595)-G594</x:f>
        <x:v>5.117236903750268</x:v>
      </x:c>
      <x:c r="R594" s="73" t="str">
        <x:f>INDEX(TrackMap!$B$8:$B$141,H594)</x:f>
        <x:v>中央高速直道</x:v>
      </x:c>
    </x:row>
    <x:row r="595" ht="20" customHeight="1">
      <x:c r="A595" s="73" t="n">
        <x:v>97</x:v>
      </x:c>
      <x:c r="B595" s="73" t="n">
        <x:v>6</x:v>
      </x:c>
      <x:c r="C595" s="73" t="str">
        <x:f>INDEX(Drivers!$B$8:$B$13,B595)</x:f>
        <x:v>玫速</x:v>
      </x:c>
      <x:c r="D595" s="83" t="n">
        <x:f>G589</x:f>
        <x:v>329.34103544745943</x:v>
      </x:c>
      <x:c r="E595" s="83" t="str">
        <x:f>IF(A595=0,"GRID",IF(D595&gt;=Control!$B$17,"FINISHED",IF(AND(A595&gt;=INDEX(Drivers!$G$8:$G$13,B595),A595&lt;INDEX(Drivers!$G$8:$G$13,B595)+INDEX(Drivers!$J$8:$J$13,B595)),"PIT",IF(MOD(A595+INDEX(Drivers!$F$8:$F$13,B595),Control!$B$11)&lt;Control!$B$13,"BOOST","RACE"))))</x:f>
        <x:v>RACE</x:v>
      </x:c>
      <x:c r="F595" s="83" t="n">
        <x:f>IF(OR(E595="GRID",E595="FINISHED",E595="PIT"),0,MAX(Control!$B$15,(INDEX(Drivers!$D$8:$D$13,B595)+INDEX(Drivers!$E$8:$E$13,B595)*SIN((A595+INDEX(Drivers!$F$8:$F$13,B595)+Control!$B$16)*Control!$B$14))*INDEX(TrackMap!$M$8:$M$141,MOD(INT(D595)-1,Control!$B$7)+1)*IF(E595="BOOST",Control!$B$12,1)))</x:f>
        <x:v>4.229530008642876</x:v>
      </x:c>
      <x:c r="G595" s="83" t="n">
        <x:f>IF(A595=0,D595,MIN(Control!$B$17,D595+F595))</x:f>
        <x:v>333.5705654561023</x:v>
      </x:c>
      <x:c r="H595" s="73" t="n">
        <x:f>MOD(INT(G595)-1,Control!$B$7)+1</x:f>
        <x:v>65</x:v>
      </x:c>
      <x:c r="I595" s="73" t="n">
        <x:f>MIN(Control!$B$6,MAX(1,INT(MAX(0,G595)/Control!$B$7)+1))</x:f>
        <x:v>3</x:v>
      </x:c>
      <x:c r="J595" s="73" t="n">
        <x:f>INDEX(Drivers!$H$8:$H$13,B595)</x:f>
        <x:v>2</x:v>
      </x:c>
      <x:c r="K595" s="73" t="n">
        <x:f>IF(J595=1,INDEX(TrackMap!$I$8:$I$141,H595),INDEX(TrackMap!$L$8:$L$141,H595))</x:f>
        <x:v>1538</x:v>
      </x:c>
      <x:c r="L595" s="73" t="str">
        <x:f>INDEX(TrackMap!$F$8:$F$141,H595)</x:f>
        <x:v>→</x:v>
      </x:c>
      <x:c r="M595" s="87" t="n">
        <x:f>MAX(0,G595/Control!$B$17)</x:f>
        <x:v>0.4978665156061229</x:v>
      </x:c>
      <x:c r="N595" s="73" t="n">
        <x:f>IF(N589&gt;0,N589,IF(G595&gt;=Control!$B$17,A595,0))</x:f>
        <x:v>0</x:v>
      </x:c>
      <x:c r="O595" s="91" t="n">
        <x:f>IF(N595&gt;0,Control!$B$17+Control!$B$8+1-N595,G595)-B595/100000</x:f>
        <x:v>333.5705054561023</x:v>
      </x:c>
      <x:c r="P595" s="73" t="n">
        <x:f>COUNTIF($O$590:$O$595,"&gt;"&amp;O595)+1</x:f>
        <x:v>4</x:v>
      </x:c>
      <x:c r="Q595" s="83" t="n">
        <x:f>MAX($G$590:$G$595)-G595</x:f>
        <x:v>6.063868786129717</x:v>
      </x:c>
      <x:c r="R595" s="73" t="str">
        <x:f>INDEX(TrackMap!$B$8:$B$141,H595)</x:f>
        <x:v>中央高速直道</x:v>
      </x:c>
    </x:row>
    <x:row r="596" ht="20" customHeight="1">
      <x:c r="A596" s="73" t="n">
        <x:v>98</x:v>
      </x:c>
      <x:c r="B596" s="73" t="n">
        <x:v>1</x:v>
      </x:c>
      <x:c r="C596" s="73" t="str">
        <x:f>INDEX(Drivers!$B$8:$B$13,B596)</x:f>
        <x:v>赤焰</x:v>
      </x:c>
      <x:c r="D596" s="83" t="n">
        <x:f>G590</x:f>
        <x:v>334.4102458436464</x:v>
      </x:c>
      <x:c r="E596" s="83" t="str">
        <x:f>IF(A596=0,"GRID",IF(D596&gt;=Control!$B$17,"FINISHED",IF(AND(A596&gt;=INDEX(Drivers!$G$8:$G$13,B596),A596&lt;INDEX(Drivers!$G$8:$G$13,B596)+INDEX(Drivers!$J$8:$J$13,B596)),"PIT",IF(MOD(A596+INDEX(Drivers!$F$8:$F$13,B596),Control!$B$11)&lt;Control!$B$13,"BOOST","RACE"))))</x:f>
        <x:v>PIT</x:v>
      </x:c>
      <x:c r="F596" s="83" t="n">
        <x:f>IF(OR(E596="GRID",E596="FINISHED",E596="PIT"),0,MAX(Control!$B$15,(INDEX(Drivers!$D$8:$D$13,B596)+INDEX(Drivers!$E$8:$E$13,B596)*SIN((A596+INDEX(Drivers!$F$8:$F$13,B596)+Control!$B$16)*Control!$B$14))*INDEX(TrackMap!$M$8:$M$141,MOD(INT(D596)-1,Control!$B$7)+1)*IF(E596="BOOST",Control!$B$12,1)))</x:f>
        <x:v>0</x:v>
      </x:c>
      <x:c r="G596" s="83" t="n">
        <x:f>IF(A596=0,D596,MIN(Control!$B$17,D596+F596))</x:f>
        <x:v>334.4102458436464</x:v>
      </x:c>
      <x:c r="H596" s="73" t="n">
        <x:f>MOD(INT(G596)-1,Control!$B$7)+1</x:f>
        <x:v>66</x:v>
      </x:c>
      <x:c r="I596" s="73" t="n">
        <x:f>MIN(Control!$B$6,MAX(1,INT(MAX(0,G596)/Control!$B$7)+1))</x:f>
        <x:v>3</x:v>
      </x:c>
      <x:c r="J596" s="73" t="n">
        <x:f>INDEX(Drivers!$H$8:$H$13,B596)</x:f>
        <x:v>1</x:v>
      </x:c>
      <x:c r="K596" s="73" t="n">
        <x:f>IF(J596=1,INDEX(TrackMap!$I$8:$I$141,H596),INDEX(TrackMap!$L$8:$L$141,H596))</x:f>
        <x:v>1639</x:v>
      </x:c>
      <x:c r="L596" s="73" t="str">
        <x:f>INDEX(TrackMap!$F$8:$F$141,H596)</x:f>
        <x:v>→</x:v>
      </x:c>
      <x:c r="M596" s="87" t="n">
        <x:f>MAX(0,G596/Control!$B$17)</x:f>
        <x:v>0.4991197699158902</x:v>
      </x:c>
      <x:c r="N596" s="73" t="n">
        <x:f>IF(N590&gt;0,N590,IF(G596&gt;=Control!$B$17,A596,0))</x:f>
        <x:v>0</x:v>
      </x:c>
      <x:c r="O596" s="91" t="n">
        <x:f>IF(N596&gt;0,Control!$B$17+Control!$B$8+1-N596,G596)-B596/100000</x:f>
        <x:v>334.41023584364643</x:v>
      </x:c>
      <x:c r="P596" s="73" t="n">
        <x:f>COUNTIF($O$596:$O$601,"&gt;"&amp;O596)+1</x:f>
        <x:v>5</x:v>
      </x:c>
      <x:c r="Q596" s="83" t="n">
        <x:f>MAX($G$596:$G$601)-G596</x:f>
        <x:v>8.298494254128855</x:v>
      </x:c>
      <x:c r="R596" s="73" t="str">
        <x:f>INDEX(TrackMap!$B$8:$B$141,H596)</x:f>
        <x:v>中央高速直道</x:v>
      </x:c>
    </x:row>
    <x:row r="597" ht="20" customHeight="1">
      <x:c r="A597" s="73" t="n">
        <x:v>98</x:v>
      </x:c>
      <x:c r="B597" s="73" t="n">
        <x:v>2</x:v>
      </x:c>
      <x:c r="C597" s="73" t="str">
        <x:f>INDEX(Drivers!$B$8:$B$13,B597)</x:f>
        <x:v>蓝电</x:v>
      </x:c>
      <x:c r="D597" s="83" t="n">
        <x:f>G591</x:f>
        <x:v>331.6253581648914</x:v>
      </x:c>
      <x:c r="E597" s="83" t="str">
        <x:f>IF(A597=0,"GRID",IF(D597&gt;=Control!$B$17,"FINISHED",IF(AND(A597&gt;=INDEX(Drivers!$G$8:$G$13,B597),A597&lt;INDEX(Drivers!$G$8:$G$13,B597)+INDEX(Drivers!$J$8:$J$13,B597)),"PIT",IF(MOD(A597+INDEX(Drivers!$F$8:$F$13,B597),Control!$B$11)&lt;Control!$B$13,"BOOST","RACE"))))</x:f>
        <x:v>RACE</x:v>
      </x:c>
      <x:c r="F597" s="83" t="n">
        <x:f>IF(OR(E597="GRID",E597="FINISHED",E597="PIT"),0,MAX(Control!$B$15,(INDEX(Drivers!$D$8:$D$13,B597)+INDEX(Drivers!$E$8:$E$13,B597)*SIN((A597+INDEX(Drivers!$F$8:$F$13,B597)+Control!$B$16)*Control!$B$14))*INDEX(TrackMap!$M$8:$M$141,MOD(INT(D597)-1,Control!$B$7)+1)*IF(E597="BOOST",Control!$B$12,1)))</x:f>
        <x:v>3.608610856002127</x:v>
      </x:c>
      <x:c r="G597" s="83" t="n">
        <x:f>IF(A597=0,D597,MIN(Control!$B$17,D597+F597))</x:f>
        <x:v>335.23396902089354</x:v>
      </x:c>
      <x:c r="H597" s="73" t="n">
        <x:f>MOD(INT(G597)-1,Control!$B$7)+1</x:f>
        <x:v>67</x:v>
      </x:c>
      <x:c r="I597" s="73" t="n">
        <x:f>MIN(Control!$B$6,MAX(1,INT(MAX(0,G597)/Control!$B$7)+1))</x:f>
        <x:v>3</x:v>
      </x:c>
      <x:c r="J597" s="73" t="n">
        <x:f>INDEX(Drivers!$H$8:$H$13,B597)</x:f>
        <x:v>2</x:v>
      </x:c>
      <x:c r="K597" s="73" t="n">
        <x:f>IF(J597=1,INDEX(TrackMap!$I$8:$I$141,H597),INDEX(TrackMap!$L$8:$L$141,H597))</x:f>
        <x:v>1540</x:v>
      </x:c>
      <x:c r="L597" s="73" t="str">
        <x:f>INDEX(TrackMap!$F$8:$F$141,H597)</x:f>
        <x:v>→</x:v>
      </x:c>
      <x:c r="M597" s="87" t="n">
        <x:f>MAX(0,G597/Control!$B$17)</x:f>
        <x:v>0.5003492074938709</x:v>
      </x:c>
      <x:c r="N597" s="73" t="n">
        <x:f>IF(N591&gt;0,N591,IF(G597&gt;=Control!$B$17,A597,0))</x:f>
        <x:v>0</x:v>
      </x:c>
      <x:c r="O597" s="91" t="n">
        <x:f>IF(N597&gt;0,Control!$B$17+Control!$B$8+1-N597,G597)-B597/100000</x:f>
        <x:v>335.23394902089353</x:v>
      </x:c>
      <x:c r="P597" s="73" t="n">
        <x:f>COUNTIF($O$596:$O$601,"&gt;"&amp;O597)+1</x:f>
        <x:v>4</x:v>
      </x:c>
      <x:c r="Q597" s="83" t="n">
        <x:f>MAX($G$596:$G$601)-G597</x:f>
        <x:v>7.474771076881723</x:v>
      </x:c>
      <x:c r="R597" s="73" t="str">
        <x:f>INDEX(TrackMap!$B$8:$B$141,H597)</x:f>
        <x:v>中央高速直道</x:v>
      </x:c>
    </x:row>
    <x:row r="598" ht="20" customHeight="1">
      <x:c r="A598" s="73" t="n">
        <x:v>98</x:v>
      </x:c>
      <x:c r="B598" s="73" t="n">
        <x:v>3</x:v>
      </x:c>
      <x:c r="C598" s="73" t="str">
        <x:f>INDEX(Drivers!$B$8:$B$13,B598)</x:f>
        <x:v>金翼</x:v>
      </x:c>
      <x:c r="D598" s="83" t="n">
        <x:f>G592</x:f>
        <x:v>339.63443424223203</x:v>
      </x:c>
      <x:c r="E598" s="83" t="str">
        <x:f>IF(A598=0,"GRID",IF(D598&gt;=Control!$B$17,"FINISHED",IF(AND(A598&gt;=INDEX(Drivers!$G$8:$G$13,B598),A598&lt;INDEX(Drivers!$G$8:$G$13,B598)+INDEX(Drivers!$J$8:$J$13,B598)),"PIT",IF(MOD(A598+INDEX(Drivers!$F$8:$F$13,B598),Control!$B$11)&lt;Control!$B$13,"BOOST","RACE"))))</x:f>
        <x:v>RACE</x:v>
      </x:c>
      <x:c r="F598" s="83" t="n">
        <x:f>IF(OR(E598="GRID",E598="FINISHED",E598="PIT"),0,MAX(Control!$B$15,(INDEX(Drivers!$D$8:$D$13,B598)+INDEX(Drivers!$E$8:$E$13,B598)*SIN((A598+INDEX(Drivers!$F$8:$F$13,B598)+Control!$B$16)*Control!$B$14))*INDEX(TrackMap!$M$8:$M$141,MOD(INT(D598)-1,Control!$B$7)+1)*IF(E598="BOOST",Control!$B$12,1)))</x:f>
        <x:v>3.0743058555432063</x:v>
      </x:c>
      <x:c r="G598" s="83" t="n">
        <x:f>IF(A598=0,D598,MIN(Control!$B$17,D598+F598))</x:f>
        <x:v>342.70874009777526</x:v>
      </x:c>
      <x:c r="H598" s="73" t="n">
        <x:f>MOD(INT(G598)-1,Control!$B$7)+1</x:f>
        <x:v>74</x:v>
      </x:c>
      <x:c r="I598" s="73" t="n">
        <x:f>MIN(Control!$B$6,MAX(1,INT(MAX(0,G598)/Control!$B$7)+1))</x:f>
        <x:v>3</x:v>
      </x:c>
      <x:c r="J598" s="73" t="n">
        <x:f>INDEX(Drivers!$H$8:$H$13,B598)</x:f>
        <x:v>1</x:v>
      </x:c>
      <x:c r="K598" s="73" t="n">
        <x:f>IF(J598=1,INDEX(TrackMap!$I$8:$I$141,H598),INDEX(TrackMap!$L$8:$L$141,H598))</x:f>
        <x:v>1246</x:v>
      </x:c>
      <x:c r="L598" s="73" t="str">
        <x:f>INDEX(TrackMap!$F$8:$F$141,H598)</x:f>
        <x:v>↑</x:v>
      </x:c>
      <x:c r="M598" s="87" t="n">
        <x:f>MAX(0,G598/Control!$B$17)</x:f>
        <x:v>0.5115055822354855</x:v>
      </x:c>
      <x:c r="N598" s="73" t="n">
        <x:f>IF(N592&gt;0,N592,IF(G598&gt;=Control!$B$17,A598,0))</x:f>
        <x:v>0</x:v>
      </x:c>
      <x:c r="O598" s="91" t="n">
        <x:f>IF(N598&gt;0,Control!$B$17+Control!$B$8+1-N598,G598)-B598/100000</x:f>
        <x:v>342.7087100977753</x:v>
      </x:c>
      <x:c r="P598" s="73" t="n">
        <x:f>COUNTIF($O$596:$O$601,"&gt;"&amp;O598)+1</x:f>
        <x:v>1</x:v>
      </x:c>
      <x:c r="Q598" s="83" t="n">
        <x:f>MAX($G$596:$G$601)-G598</x:f>
        <x:v>0</x:v>
      </x:c>
      <x:c r="R598" s="73" t="str">
        <x:f>INDEX(TrackMap!$B$8:$B$141,H598)</x:f>
        <x:v>东侧上行弯</x:v>
      </x:c>
    </x:row>
    <x:row r="599" ht="20" customHeight="1">
      <x:c r="A599" s="73" t="n">
        <x:v>98</x:v>
      </x:c>
      <x:c r="B599" s="73" t="n">
        <x:v>4</x:v>
      </x:c>
      <x:c r="C599" s="73" t="str">
        <x:f>INDEX(Drivers!$B$8:$B$13,B599)</x:f>
        <x:v>紫影</x:v>
      </x:c>
      <x:c r="D599" s="83" t="n">
        <x:f>G593</x:f>
        <x:v>330.82981207884256</x:v>
      </x:c>
      <x:c r="E599" s="83" t="str">
        <x:f>IF(A599=0,"GRID",IF(D599&gt;=Control!$B$17,"FINISHED",IF(AND(A599&gt;=INDEX(Drivers!$G$8:$G$13,B599),A599&lt;INDEX(Drivers!$G$8:$G$13,B599)+INDEX(Drivers!$J$8:$J$13,B599)),"PIT",IF(MOD(A599+INDEX(Drivers!$F$8:$F$13,B599),Control!$B$11)&lt;Control!$B$13,"BOOST","RACE"))))</x:f>
        <x:v>RACE</x:v>
      </x:c>
      <x:c r="F599" s="83" t="n">
        <x:f>IF(OR(E599="GRID",E599="FINISHED",E599="PIT"),0,MAX(Control!$B$15,(INDEX(Drivers!$D$8:$D$13,B599)+INDEX(Drivers!$E$8:$E$13,B599)*SIN((A599+INDEX(Drivers!$F$8:$F$13,B599)+Control!$B$16)*Control!$B$14))*INDEX(TrackMap!$M$8:$M$141,MOD(INT(D599)-1,Control!$B$7)+1)*IF(E599="BOOST",Control!$B$12,1)))</x:f>
        <x:v>3.0953199090553256</x:v>
      </x:c>
      <x:c r="G599" s="83" t="n">
        <x:f>IF(A599=0,D599,MIN(Control!$B$17,D599+F599))</x:f>
        <x:v>333.9251319878979</x:v>
      </x:c>
      <x:c r="H599" s="73" t="n">
        <x:f>MOD(INT(G599)-1,Control!$B$7)+1</x:f>
        <x:v>65</x:v>
      </x:c>
      <x:c r="I599" s="73" t="n">
        <x:f>MIN(Control!$B$6,MAX(1,INT(MAX(0,G599)/Control!$B$7)+1))</x:f>
        <x:v>3</x:v>
      </x:c>
      <x:c r="J599" s="73" t="n">
        <x:f>INDEX(Drivers!$H$8:$H$13,B599)</x:f>
        <x:v>2</x:v>
      </x:c>
      <x:c r="K599" s="73" t="n">
        <x:f>IF(J599=1,INDEX(TrackMap!$I$8:$I$141,H599),INDEX(TrackMap!$L$8:$L$141,H599))</x:f>
        <x:v>1538</x:v>
      </x:c>
      <x:c r="L599" s="73" t="str">
        <x:f>INDEX(TrackMap!$F$8:$F$141,H599)</x:f>
        <x:v>→</x:v>
      </x:c>
      <x:c r="M599" s="87" t="n">
        <x:f>MAX(0,G599/Control!$B$17)</x:f>
        <x:v>0.4983957193849222</x:v>
      </x:c>
      <x:c r="N599" s="73" t="n">
        <x:f>IF(N593&gt;0,N593,IF(G599&gt;=Control!$B$17,A599,0))</x:f>
        <x:v>0</x:v>
      </x:c>
      <x:c r="O599" s="91" t="n">
        <x:f>IF(N599&gt;0,Control!$B$17+Control!$B$8+1-N599,G599)-B599/100000</x:f>
        <x:v>333.9250919878979</x:v>
      </x:c>
      <x:c r="P599" s="73" t="n">
        <x:f>COUNTIF($O$596:$O$601,"&gt;"&amp;O599)+1</x:f>
        <x:v>6</x:v>
      </x:c>
      <x:c r="Q599" s="83" t="n">
        <x:f>MAX($G$596:$G$601)-G599</x:f>
        <x:v>8.783608109877378</x:v>
      </x:c>
      <x:c r="R599" s="73" t="str">
        <x:f>INDEX(TrackMap!$B$8:$B$141,H599)</x:f>
        <x:v>中央高速直道</x:v>
      </x:c>
    </x:row>
    <x:row r="600" ht="20" customHeight="1">
      <x:c r="A600" s="73" t="n">
        <x:v>98</x:v>
      </x:c>
      <x:c r="B600" s="73" t="n">
        <x:v>5</x:v>
      </x:c>
      <x:c r="C600" s="73" t="str">
        <x:f>INDEX(Drivers!$B$8:$B$13,B600)</x:f>
        <x:v>青锋</x:v>
      </x:c>
      <x:c r="D600" s="83" t="n">
        <x:f>G594</x:f>
        <x:v>334.51719733848176</x:v>
      </x:c>
      <x:c r="E600" s="83" t="str">
        <x:f>IF(A600=0,"GRID",IF(D600&gt;=Control!$B$17,"FINISHED",IF(AND(A600&gt;=INDEX(Drivers!$G$8:$G$13,B600),A600&lt;INDEX(Drivers!$G$8:$G$13,B600)+INDEX(Drivers!$J$8:$J$13,B600)),"PIT",IF(MOD(A600+INDEX(Drivers!$F$8:$F$13,B600),Control!$B$11)&lt;Control!$B$13,"BOOST","RACE"))))</x:f>
        <x:v>RACE</x:v>
      </x:c>
      <x:c r="F600" s="83" t="n">
        <x:f>IF(OR(E600="GRID",E600="FINISHED",E600="PIT"),0,MAX(Control!$B$15,(INDEX(Drivers!$D$8:$D$13,B600)+INDEX(Drivers!$E$8:$E$13,B600)*SIN((A600+INDEX(Drivers!$F$8:$F$13,B600)+Control!$B$16)*Control!$B$14))*INDEX(TrackMap!$M$8:$M$141,MOD(INT(D600)-1,Control!$B$7)+1)*IF(E600="BOOST",Control!$B$12,1)))</x:f>
        <x:v>3.17579237999316</x:v>
      </x:c>
      <x:c r="G600" s="83" t="n">
        <x:f>IF(A600=0,D600,MIN(Control!$B$17,D600+F600))</x:f>
        <x:v>337.6929897184749</x:v>
      </x:c>
      <x:c r="H600" s="73" t="n">
        <x:f>MOD(INT(G600)-1,Control!$B$7)+1</x:f>
        <x:v>69</x:v>
      </x:c>
      <x:c r="I600" s="73" t="n">
        <x:f>MIN(Control!$B$6,MAX(1,INT(MAX(0,G600)/Control!$B$7)+1))</x:f>
        <x:v>3</x:v>
      </x:c>
      <x:c r="J600" s="73" t="n">
        <x:f>INDEX(Drivers!$H$8:$H$13,B600)</x:f>
        <x:v>1</x:v>
      </x:c>
      <x:c r="K600" s="73" t="n">
        <x:f>IF(J600=1,INDEX(TrackMap!$I$8:$I$141,H600),INDEX(TrackMap!$L$8:$L$141,H600))</x:f>
        <x:v>1642</x:v>
      </x:c>
      <x:c r="L600" s="73" t="str">
        <x:f>INDEX(TrackMap!$F$8:$F$141,H600)</x:f>
        <x:v>→</x:v>
      </x:c>
      <x:c r="M600" s="87" t="n">
        <x:f>MAX(0,G600/Control!$B$17)</x:f>
        <x:v>0.5040193876395148</x:v>
      </x:c>
      <x:c r="N600" s="73" t="n">
        <x:f>IF(N594&gt;0,N594,IF(G600&gt;=Control!$B$17,A600,0))</x:f>
        <x:v>0</x:v>
      </x:c>
      <x:c r="O600" s="91" t="n">
        <x:f>IF(N600&gt;0,Control!$B$17+Control!$B$8+1-N600,G600)-B600/100000</x:f>
        <x:v>337.6929397184749</x:v>
      </x:c>
      <x:c r="P600" s="73" t="n">
        <x:f>COUNTIF($O$596:$O$601,"&gt;"&amp;O600)+1</x:f>
        <x:v>3</x:v>
      </x:c>
      <x:c r="Q600" s="83" t="n">
        <x:f>MAX($G$596:$G$601)-G600</x:f>
        <x:v>5.015750379300357</x:v>
      </x:c>
      <x:c r="R600" s="73" t="str">
        <x:f>INDEX(TrackMap!$B$8:$B$141,H600)</x:f>
        <x:v>中央高速直道</x:v>
      </x:c>
    </x:row>
    <x:row r="601" ht="20" customHeight="1">
      <x:c r="A601" s="73" t="n">
        <x:v>98</x:v>
      </x:c>
      <x:c r="B601" s="73" t="n">
        <x:v>6</x:v>
      </x:c>
      <x:c r="C601" s="73" t="str">
        <x:f>INDEX(Drivers!$B$8:$B$13,B601)</x:f>
        <x:v>玫速</x:v>
      </x:c>
      <x:c r="D601" s="83" t="n">
        <x:f>G595</x:f>
        <x:v>333.5705654561023</x:v>
      </x:c>
      <x:c r="E601" s="83" t="str">
        <x:f>IF(A601=0,"GRID",IF(D601&gt;=Control!$B$17,"FINISHED",IF(AND(A601&gt;=INDEX(Drivers!$G$8:$G$13,B601),A601&lt;INDEX(Drivers!$G$8:$G$13,B601)+INDEX(Drivers!$J$8:$J$13,B601)),"PIT",IF(MOD(A601+INDEX(Drivers!$F$8:$F$13,B601),Control!$B$11)&lt;Control!$B$13,"BOOST","RACE"))))</x:f>
        <x:v>RACE</x:v>
      </x:c>
      <x:c r="F601" s="83" t="n">
        <x:f>IF(OR(E601="GRID",E601="FINISHED",E601="PIT"),0,MAX(Control!$B$15,(INDEX(Drivers!$D$8:$D$13,B601)+INDEX(Drivers!$E$8:$E$13,B601)*SIN((A601+INDEX(Drivers!$F$8:$F$13,B601)+Control!$B$16)*Control!$B$14))*INDEX(TrackMap!$M$8:$M$141,MOD(INT(D601)-1,Control!$B$7)+1)*IF(E601="BOOST",Control!$B$12,1)))</x:f>
        <x:v>4.279442971880994</x:v>
      </x:c>
      <x:c r="G601" s="83" t="n">
        <x:f>IF(A601=0,D601,MIN(Control!$B$17,D601+F601))</x:f>
        <x:v>337.8500084279833</x:v>
      </x:c>
      <x:c r="H601" s="73" t="n">
        <x:f>MOD(INT(G601)-1,Control!$B$7)+1</x:f>
        <x:v>69</x:v>
      </x:c>
      <x:c r="I601" s="73" t="n">
        <x:f>MIN(Control!$B$6,MAX(1,INT(MAX(0,G601)/Control!$B$7)+1))</x:f>
        <x:v>3</x:v>
      </x:c>
      <x:c r="J601" s="73" t="n">
        <x:f>INDEX(Drivers!$H$8:$H$13,B601)</x:f>
        <x:v>2</x:v>
      </x:c>
      <x:c r="K601" s="73" t="n">
        <x:f>IF(J601=1,INDEX(TrackMap!$I$8:$I$141,H601),INDEX(TrackMap!$L$8:$L$141,H601))</x:f>
        <x:v>1542</x:v>
      </x:c>
      <x:c r="L601" s="73" t="str">
        <x:f>INDEX(TrackMap!$F$8:$F$141,H601)</x:f>
        <x:v>→</x:v>
      </x:c>
      <x:c r="M601" s="87" t="n">
        <x:f>MAX(0,G601/Control!$B$17)</x:f>
        <x:v>0.5042537439223631</x:v>
      </x:c>
      <x:c r="N601" s="73" t="n">
        <x:f>IF(N595&gt;0,N595,IF(G601&gt;=Control!$B$17,A601,0))</x:f>
        <x:v>0</x:v>
      </x:c>
      <x:c r="O601" s="91" t="n">
        <x:f>IF(N601&gt;0,Control!$B$17+Control!$B$8+1-N601,G601)-B601/100000</x:f>
        <x:v>337.8499484279833</x:v>
      </x:c>
      <x:c r="P601" s="73" t="n">
        <x:f>COUNTIF($O$596:$O$601,"&gt;"&amp;O601)+1</x:f>
        <x:v>2</x:v>
      </x:c>
      <x:c r="Q601" s="83" t="n">
        <x:f>MAX($G$596:$G$601)-G601</x:f>
        <x:v>4.8587316697919505</x:v>
      </x:c>
      <x:c r="R601" s="73" t="str">
        <x:f>INDEX(TrackMap!$B$8:$B$141,H601)</x:f>
        <x:v>中央高速直道</x:v>
      </x:c>
    </x:row>
    <x:row r="602" ht="20" customHeight="1">
      <x:c r="A602" s="73" t="n">
        <x:v>99</x:v>
      </x:c>
      <x:c r="B602" s="73" t="n">
        <x:v>1</x:v>
      </x:c>
      <x:c r="C602" s="73" t="str">
        <x:f>INDEX(Drivers!$B$8:$B$13,B602)</x:f>
        <x:v>赤焰</x:v>
      </x:c>
      <x:c r="D602" s="83" t="n">
        <x:f>G596</x:f>
        <x:v>334.4102458436464</x:v>
      </x:c>
      <x:c r="E602" s="83" t="str">
        <x:f>IF(A602=0,"GRID",IF(D602&gt;=Control!$B$17,"FINISHED",IF(AND(A602&gt;=INDEX(Drivers!$G$8:$G$13,B602),A602&lt;INDEX(Drivers!$G$8:$G$13,B602)+INDEX(Drivers!$J$8:$J$13,B602)),"PIT",IF(MOD(A602+INDEX(Drivers!$F$8:$F$13,B602),Control!$B$11)&lt;Control!$B$13,"BOOST","RACE"))))</x:f>
        <x:v>RACE</x:v>
      </x:c>
      <x:c r="F602" s="83" t="n">
        <x:f>IF(OR(E602="GRID",E602="FINISHED",E602="PIT"),0,MAX(Control!$B$15,(INDEX(Drivers!$D$8:$D$13,B602)+INDEX(Drivers!$E$8:$E$13,B602)*SIN((A602+INDEX(Drivers!$F$8:$F$13,B602)+Control!$B$16)*Control!$B$14))*INDEX(TrackMap!$M$8:$M$141,MOD(INT(D602)-1,Control!$B$7)+1)*IF(E602="BOOST",Control!$B$12,1)))</x:f>
        <x:v>3.1965320086313755</x:v>
      </x:c>
      <x:c r="G602" s="83" t="n">
        <x:f>IF(A602=0,D602,MIN(Control!$B$17,D602+F602))</x:f>
        <x:v>337.6067778522778</x:v>
      </x:c>
      <x:c r="H602" s="73" t="n">
        <x:f>MOD(INT(G602)-1,Control!$B$7)+1</x:f>
        <x:v>69</x:v>
      </x:c>
      <x:c r="I602" s="73" t="n">
        <x:f>MIN(Control!$B$6,MAX(1,INT(MAX(0,G602)/Control!$B$7)+1))</x:f>
        <x:v>3</x:v>
      </x:c>
      <x:c r="J602" s="73" t="n">
        <x:f>INDEX(Drivers!$H$8:$H$13,B602)</x:f>
        <x:v>1</x:v>
      </x:c>
      <x:c r="K602" s="73" t="n">
        <x:f>IF(J602=1,INDEX(TrackMap!$I$8:$I$141,H602),INDEX(TrackMap!$L$8:$L$141,H602))</x:f>
        <x:v>1642</x:v>
      </x:c>
      <x:c r="L602" s="73" t="str">
        <x:f>INDEX(TrackMap!$F$8:$F$141,H602)</x:f>
        <x:v>→</x:v>
      </x:c>
      <x:c r="M602" s="87" t="n">
        <x:f>MAX(0,G602/Control!$B$17)</x:f>
        <x:v>0.5038907132123549</x:v>
      </x:c>
      <x:c r="N602" s="73" t="n">
        <x:f>IF(N596&gt;0,N596,IF(G602&gt;=Control!$B$17,A602,0))</x:f>
        <x:v>0</x:v>
      </x:c>
      <x:c r="O602" s="91" t="n">
        <x:f>IF(N602&gt;0,Control!$B$17+Control!$B$8+1-N602,G602)-B602/100000</x:f>
        <x:v>337.6067678522778</x:v>
      </x:c>
      <x:c r="P602" s="73" t="n">
        <x:f>COUNTIF($O$602:$O$607,"&gt;"&amp;O602)+1</x:f>
        <x:v>5</x:v>
      </x:c>
      <x:c r="Q602" s="83" t="n">
        <x:f>MAX($G$602:$G$607)-G602</x:f>
        <x:v>8.040023397540494</x:v>
      </x:c>
      <x:c r="R602" s="73" t="str">
        <x:f>INDEX(TrackMap!$B$8:$B$141,H602)</x:f>
        <x:v>中央高速直道</x:v>
      </x:c>
    </x:row>
    <x:row r="603" ht="20" customHeight="1">
      <x:c r="A603" s="73" t="n">
        <x:v>99</x:v>
      </x:c>
      <x:c r="B603" s="73" t="n">
        <x:v>2</x:v>
      </x:c>
      <x:c r="C603" s="73" t="str">
        <x:f>INDEX(Drivers!$B$8:$B$13,B603)</x:f>
        <x:v>蓝电</x:v>
      </x:c>
      <x:c r="D603" s="83" t="n">
        <x:f>G597</x:f>
        <x:v>335.23396902089354</x:v>
      </x:c>
      <x:c r="E603" s="83" t="str">
        <x:f>IF(A603=0,"GRID",IF(D603&gt;=Control!$B$17,"FINISHED",IF(AND(A603&gt;=INDEX(Drivers!$G$8:$G$13,B603),A603&lt;INDEX(Drivers!$G$8:$G$13,B603)+INDEX(Drivers!$J$8:$J$13,B603)),"PIT",IF(MOD(A603+INDEX(Drivers!$F$8:$F$13,B603),Control!$B$11)&lt;Control!$B$13,"BOOST","RACE"))))</x:f>
        <x:v>RACE</x:v>
      </x:c>
      <x:c r="F603" s="83" t="n">
        <x:f>IF(OR(E603="GRID",E603="FINISHED",E603="PIT"),0,MAX(Control!$B$15,(INDEX(Drivers!$D$8:$D$13,B603)+INDEX(Drivers!$E$8:$E$13,B603)*SIN((A603+INDEX(Drivers!$F$8:$F$13,B603)+Control!$B$16)*Control!$B$14))*INDEX(TrackMap!$M$8:$M$141,MOD(INT(D603)-1,Control!$B$7)+1)*IF(E603="BOOST",Control!$B$12,1)))</x:f>
        <x:v>3.8233971259332016</x:v>
      </x:c>
      <x:c r="G603" s="83" t="n">
        <x:f>IF(A603=0,D603,MIN(Control!$B$17,D603+F603))</x:f>
        <x:v>339.0573661468267</x:v>
      </x:c>
      <x:c r="H603" s="73" t="n">
        <x:f>MOD(INT(G603)-1,Control!$B$7)+1</x:f>
        <x:v>71</x:v>
      </x:c>
      <x:c r="I603" s="73" t="n">
        <x:f>MIN(Control!$B$6,MAX(1,INT(MAX(0,G603)/Control!$B$7)+1))</x:f>
        <x:v>3</x:v>
      </x:c>
      <x:c r="J603" s="73" t="n">
        <x:f>INDEX(Drivers!$H$8:$H$13,B603)</x:f>
        <x:v>2</x:v>
      </x:c>
      <x:c r="K603" s="73" t="n">
        <x:f>IF(J603=1,INDEX(TrackMap!$I$8:$I$141,H603),INDEX(TrackMap!$L$8:$L$141,H603))</x:f>
        <x:v>1544</x:v>
      </x:c>
      <x:c r="L603" s="73" t="str">
        <x:f>INDEX(TrackMap!$F$8:$F$141,H603)</x:f>
        <x:v>→</x:v>
      </x:c>
      <x:c r="M603" s="87" t="n">
        <x:f>MAX(0,G603/Control!$B$17)</x:f>
        <x:v>0.5060557703683981</x:v>
      </x:c>
      <x:c r="N603" s="73" t="n">
        <x:f>IF(N597&gt;0,N597,IF(G603&gt;=Control!$B$17,A603,0))</x:f>
        <x:v>0</x:v>
      </x:c>
      <x:c r="O603" s="91" t="n">
        <x:f>IF(N603&gt;0,Control!$B$17+Control!$B$8+1-N603,G603)-B603/100000</x:f>
        <x:v>339.0573461468267</x:v>
      </x:c>
      <x:c r="P603" s="73" t="n">
        <x:f>COUNTIF($O$602:$O$607,"&gt;"&amp;O603)+1</x:f>
        <x:v>4</x:v>
      </x:c>
      <x:c r="Q603" s="83" t="n">
        <x:f>MAX($G$602:$G$607)-G603</x:f>
        <x:v>6.589435102991558</x:v>
      </x:c>
      <x:c r="R603" s="73" t="str">
        <x:f>INDEX(TrackMap!$B$8:$B$141,H603)</x:f>
        <x:v>中央高速直道</x:v>
      </x:c>
    </x:row>
    <x:row r="604" ht="20" customHeight="1">
      <x:c r="A604" s="73" t="n">
        <x:v>99</x:v>
      </x:c>
      <x:c r="B604" s="73" t="n">
        <x:v>3</x:v>
      </x:c>
      <x:c r="C604" s="73" t="str">
        <x:f>INDEX(Drivers!$B$8:$B$13,B604)</x:f>
        <x:v>金翼</x:v>
      </x:c>
      <x:c r="D604" s="83" t="n">
        <x:f>G598</x:f>
        <x:v>342.70874009777526</x:v>
      </x:c>
      <x:c r="E604" s="83" t="str">
        <x:f>IF(A604=0,"GRID",IF(D604&gt;=Control!$B$17,"FINISHED",IF(AND(A604&gt;=INDEX(Drivers!$G$8:$G$13,B604),A604&lt;INDEX(Drivers!$G$8:$G$13,B604)+INDEX(Drivers!$J$8:$J$13,B604)),"PIT",IF(MOD(A604+INDEX(Drivers!$F$8:$F$13,B604),Control!$B$11)&lt;Control!$B$13,"BOOST","RACE"))))</x:f>
        <x:v>RACE</x:v>
      </x:c>
      <x:c r="F604" s="83" t="n">
        <x:f>IF(OR(E604="GRID",E604="FINISHED",E604="PIT"),0,MAX(Control!$B$15,(INDEX(Drivers!$D$8:$D$13,B604)+INDEX(Drivers!$E$8:$E$13,B604)*SIN((A604+INDEX(Drivers!$F$8:$F$13,B604)+Control!$B$16)*Control!$B$14))*INDEX(TrackMap!$M$8:$M$141,MOD(INT(D604)-1,Control!$B$7)+1)*IF(E604="BOOST",Control!$B$12,1)))</x:f>
        <x:v>2.9380611520430295</x:v>
      </x:c>
      <x:c r="G604" s="83" t="n">
        <x:f>IF(A604=0,D604,MIN(Control!$B$17,D604+F604))</x:f>
        <x:v>345.6468012498183</x:v>
      </x:c>
      <x:c r="H604" s="73" t="n">
        <x:f>MOD(INT(G604)-1,Control!$B$7)+1</x:f>
        <x:v>77</x:v>
      </x:c>
      <x:c r="I604" s="73" t="n">
        <x:f>MIN(Control!$B$6,MAX(1,INT(MAX(0,G604)/Control!$B$7)+1))</x:f>
        <x:v>3</x:v>
      </x:c>
      <x:c r="J604" s="73" t="n">
        <x:f>INDEX(Drivers!$H$8:$H$13,B604)</x:f>
        <x:v>1</x:v>
      </x:c>
      <x:c r="K604" s="73" t="n">
        <x:f>IF(J604=1,INDEX(TrackMap!$I$8:$I$141,H604),INDEX(TrackMap!$L$8:$L$141,H604))</x:f>
        <x:v>846</x:v>
      </x:c>
      <x:c r="L604" s="73" t="str">
        <x:f>INDEX(TrackMap!$F$8:$F$141,H604)</x:f>
        <x:v>→</x:v>
      </x:c>
      <x:c r="M604" s="87" t="n">
        <x:f>MAX(0,G604/Control!$B$17)</x:f>
        <x:v>0.5158907481340571</x:v>
      </x:c>
      <x:c r="N604" s="73" t="n">
        <x:f>IF(N598&gt;0,N598,IF(G604&gt;=Control!$B$17,A604,0))</x:f>
        <x:v>0</x:v>
      </x:c>
      <x:c r="O604" s="91" t="n">
        <x:f>IF(N604&gt;0,Control!$B$17+Control!$B$8+1-N604,G604)-B604/100000</x:f>
        <x:v>345.6467712498183</x:v>
      </x:c>
      <x:c r="P604" s="73" t="n">
        <x:f>COUNTIF($O$602:$O$607,"&gt;"&amp;O604)+1</x:f>
        <x:v>1</x:v>
      </x:c>
      <x:c r="Q604" s="83" t="n">
        <x:f>MAX($G$602:$G$607)-G604</x:f>
        <x:v>0</x:v>
      </x:c>
      <x:c r="R604" s="73" t="str">
        <x:f>INDEX(TrackMap!$B$8:$B$141,H604)</x:f>
        <x:v>东侧发卡弯</x:v>
      </x:c>
    </x:row>
    <x:row r="605" ht="20" customHeight="1">
      <x:c r="A605" s="73" t="n">
        <x:v>99</x:v>
      </x:c>
      <x:c r="B605" s="73" t="n">
        <x:v>4</x:v>
      </x:c>
      <x:c r="C605" s="73" t="str">
        <x:f>INDEX(Drivers!$B$8:$B$13,B605)</x:f>
        <x:v>紫影</x:v>
      </x:c>
      <x:c r="D605" s="83" t="n">
        <x:f>G599</x:f>
        <x:v>333.9251319878979</x:v>
      </x:c>
      <x:c r="E605" s="83" t="str">
        <x:f>IF(A605=0,"GRID",IF(D605&gt;=Control!$B$17,"FINISHED",IF(AND(A605&gt;=INDEX(Drivers!$G$8:$G$13,B605),A605&lt;INDEX(Drivers!$G$8:$G$13,B605)+INDEX(Drivers!$J$8:$J$13,B605)),"PIT",IF(MOD(A605+INDEX(Drivers!$F$8:$F$13,B605),Control!$B$11)&lt;Control!$B$13,"BOOST","RACE"))))</x:f>
        <x:v>RACE</x:v>
      </x:c>
      <x:c r="F605" s="83" t="n">
        <x:f>IF(OR(E605="GRID",E605="FINISHED",E605="PIT"),0,MAX(Control!$B$15,(INDEX(Drivers!$D$8:$D$13,B605)+INDEX(Drivers!$E$8:$E$13,B605)*SIN((A605+INDEX(Drivers!$F$8:$F$13,B605)+Control!$B$16)*Control!$B$14))*INDEX(TrackMap!$M$8:$M$141,MOD(INT(D605)-1,Control!$B$7)+1)*IF(E605="BOOST",Control!$B$12,1)))</x:f>
        <x:v>3.2328329939830693</x:v>
      </x:c>
      <x:c r="G605" s="83" t="n">
        <x:f>IF(A605=0,D605,MIN(Control!$B$17,D605+F605))</x:f>
        <x:v>337.157964981881</x:v>
      </x:c>
      <x:c r="H605" s="73" t="n">
        <x:f>MOD(INT(G605)-1,Control!$B$7)+1</x:f>
        <x:v>69</x:v>
      </x:c>
      <x:c r="I605" s="73" t="n">
        <x:f>MIN(Control!$B$6,MAX(1,INT(MAX(0,G605)/Control!$B$7)+1))</x:f>
        <x:v>3</x:v>
      </x:c>
      <x:c r="J605" s="73" t="n">
        <x:f>INDEX(Drivers!$H$8:$H$13,B605)</x:f>
        <x:v>2</x:v>
      </x:c>
      <x:c r="K605" s="73" t="n">
        <x:f>IF(J605=1,INDEX(TrackMap!$I$8:$I$141,H605),INDEX(TrackMap!$L$8:$L$141,H605))</x:f>
        <x:v>1542</x:v>
      </x:c>
      <x:c r="L605" s="73" t="str">
        <x:f>INDEX(TrackMap!$F$8:$F$141,H605)</x:f>
        <x:v>→</x:v>
      </x:c>
      <x:c r="M605" s="87" t="n">
        <x:f>MAX(0,G605/Control!$B$17)</x:f>
        <x:v>0.5032208432565388</x:v>
      </x:c>
      <x:c r="N605" s="73" t="n">
        <x:f>IF(N599&gt;0,N599,IF(G605&gt;=Control!$B$17,A605,0))</x:f>
        <x:v>0</x:v>
      </x:c>
      <x:c r="O605" s="91" t="n">
        <x:f>IF(N605&gt;0,Control!$B$17+Control!$B$8+1-N605,G605)-B605/100000</x:f>
        <x:v>337.15792498188097</x:v>
      </x:c>
      <x:c r="P605" s="73" t="n">
        <x:f>COUNTIF($O$602:$O$607,"&gt;"&amp;O605)+1</x:f>
        <x:v>6</x:v>
      </x:c>
      <x:c r="Q605" s="83" t="n">
        <x:f>MAX($G$602:$G$607)-G605</x:f>
        <x:v>8.488836267937302</x:v>
      </x:c>
      <x:c r="R605" s="73" t="str">
        <x:f>INDEX(TrackMap!$B$8:$B$141,H605)</x:f>
        <x:v>中央高速直道</x:v>
      </x:c>
    </x:row>
    <x:row r="606" ht="20" customHeight="1">
      <x:c r="A606" s="73" t="n">
        <x:v>99</x:v>
      </x:c>
      <x:c r="B606" s="73" t="n">
        <x:v>5</x:v>
      </x:c>
      <x:c r="C606" s="73" t="str">
        <x:f>INDEX(Drivers!$B$8:$B$13,B606)</x:f>
        <x:v>青锋</x:v>
      </x:c>
      <x:c r="D606" s="83" t="n">
        <x:f>G600</x:f>
        <x:v>337.6929897184749</x:v>
      </x:c>
      <x:c r="E606" s="83" t="str">
        <x:f>IF(A606=0,"GRID",IF(D606&gt;=Control!$B$17,"FINISHED",IF(AND(A606&gt;=INDEX(Drivers!$G$8:$G$13,B606),A606&lt;INDEX(Drivers!$G$8:$G$13,B606)+INDEX(Drivers!$J$8:$J$13,B606)),"PIT",IF(MOD(A606+INDEX(Drivers!$F$8:$F$13,B606),Control!$B$11)&lt;Control!$B$13,"BOOST","RACE"))))</x:f>
        <x:v>RACE</x:v>
      </x:c>
      <x:c r="F606" s="83" t="n">
        <x:f>IF(OR(E606="GRID",E606="FINISHED",E606="PIT"),0,MAX(Control!$B$15,(INDEX(Drivers!$D$8:$D$13,B606)+INDEX(Drivers!$E$8:$E$13,B606)*SIN((A606+INDEX(Drivers!$F$8:$F$13,B606)+Control!$B$16)*Control!$B$14))*INDEX(TrackMap!$M$8:$M$141,MOD(INT(D606)-1,Control!$B$7)+1)*IF(E606="BOOST",Control!$B$12,1)))</x:f>
        <x:v>3.2980802720290567</x:v>
      </x:c>
      <x:c r="G606" s="83" t="n">
        <x:f>IF(A606=0,D606,MIN(Control!$B$17,D606+F606))</x:f>
        <x:v>340.99106999050395</x:v>
      </x:c>
      <x:c r="H606" s="73" t="n">
        <x:f>MOD(INT(G606)-1,Control!$B$7)+1</x:f>
        <x:v>72</x:v>
      </x:c>
      <x:c r="I606" s="73" t="n">
        <x:f>MIN(Control!$B$6,MAX(1,INT(MAX(0,G606)/Control!$B$7)+1))</x:f>
        <x:v>3</x:v>
      </x:c>
      <x:c r="J606" s="73" t="n">
        <x:f>INDEX(Drivers!$H$8:$H$13,B606)</x:f>
        <x:v>1</x:v>
      </x:c>
      <x:c r="K606" s="73" t="n">
        <x:f>IF(J606=1,INDEX(TrackMap!$I$8:$I$141,H606),INDEX(TrackMap!$L$8:$L$141,H606))</x:f>
        <x:v>1446</x:v>
      </x:c>
      <x:c r="L606" s="73" t="str">
        <x:f>INDEX(TrackMap!$F$8:$F$141,H606)</x:f>
        <x:v>↑</x:v>
      </x:c>
      <x:c r="M606" s="87" t="n">
        <x:f>MAX(0,G606/Control!$B$17)</x:f>
        <x:v>0.5089418955082149</x:v>
      </x:c>
      <x:c r="N606" s="73" t="n">
        <x:f>IF(N600&gt;0,N600,IF(G606&gt;=Control!$B$17,A606,0))</x:f>
        <x:v>0</x:v>
      </x:c>
      <x:c r="O606" s="91" t="n">
        <x:f>IF(N606&gt;0,Control!$B$17+Control!$B$8+1-N606,G606)-B606/100000</x:f>
        <x:v>340.99101999050396</x:v>
      </x:c>
      <x:c r="P606" s="73" t="n">
        <x:f>COUNTIF($O$602:$O$607,"&gt;"&amp;O606)+1</x:f>
        <x:v>3</x:v>
      </x:c>
      <x:c r="Q606" s="83" t="n">
        <x:f>MAX($G$602:$G$607)-G606</x:f>
        <x:v>4.6557312593143365</x:v>
      </x:c>
      <x:c r="R606" s="73" t="str">
        <x:f>INDEX(TrackMap!$B$8:$B$141,H606)</x:f>
        <x:v>东侧上行弯</x:v>
      </x:c>
    </x:row>
    <x:row r="607" ht="20" customHeight="1">
      <x:c r="A607" s="73" t="n">
        <x:v>99</x:v>
      </x:c>
      <x:c r="B607" s="73" t="n">
        <x:v>6</x:v>
      </x:c>
      <x:c r="C607" s="73" t="str">
        <x:f>INDEX(Drivers!$B$8:$B$13,B607)</x:f>
        <x:v>玫速</x:v>
      </x:c>
      <x:c r="D607" s="83" t="n">
        <x:f>G601</x:f>
        <x:v>337.8500084279833</x:v>
      </x:c>
      <x:c r="E607" s="83" t="str">
        <x:f>IF(A607=0,"GRID",IF(D607&gt;=Control!$B$17,"FINISHED",IF(AND(A607&gt;=INDEX(Drivers!$G$8:$G$13,B607),A607&lt;INDEX(Drivers!$G$8:$G$13,B607)+INDEX(Drivers!$J$8:$J$13,B607)),"PIT",IF(MOD(A607+INDEX(Drivers!$F$8:$F$13,B607),Control!$B$11)&lt;Control!$B$13,"BOOST","RACE"))))</x:f>
        <x:v>RACE</x:v>
      </x:c>
      <x:c r="F607" s="83" t="n">
        <x:f>IF(OR(E607="GRID",E607="FINISHED",E607="PIT"),0,MAX(Control!$B$15,(INDEX(Drivers!$D$8:$D$13,B607)+INDEX(Drivers!$E$8:$E$13,B607)*SIN((A607+INDEX(Drivers!$F$8:$F$13,B607)+Control!$B$16)*Control!$B$14))*INDEX(TrackMap!$M$8:$M$141,MOD(INT(D607)-1,Control!$B$7)+1)*IF(E607="BOOST",Control!$B$12,1)))</x:f>
        <x:v>4.248224140989123</x:v>
      </x:c>
      <x:c r="G607" s="83" t="n">
        <x:f>IF(A607=0,D607,MIN(Control!$B$17,D607+F607))</x:f>
        <x:v>342.09823256897243</x:v>
      </x:c>
      <x:c r="H607" s="73" t="n">
        <x:f>MOD(INT(G607)-1,Control!$B$7)+1</x:f>
        <x:v>74</x:v>
      </x:c>
      <x:c r="I607" s="73" t="n">
        <x:f>MIN(Control!$B$6,MAX(1,INT(MAX(0,G607)/Control!$B$7)+1))</x:f>
        <x:v>3</x:v>
      </x:c>
      <x:c r="J607" s="73" t="n">
        <x:f>INDEX(Drivers!$H$8:$H$13,B607)</x:f>
        <x:v>2</x:v>
      </x:c>
      <x:c r="K607" s="73" t="n">
        <x:f>IF(J607=1,INDEX(TrackMap!$I$8:$I$141,H607),INDEX(TrackMap!$L$8:$L$141,H607))</x:f>
        <x:v>1245</x:v>
      </x:c>
      <x:c r="L607" s="73" t="str">
        <x:f>INDEX(TrackMap!$F$8:$F$141,H607)</x:f>
        <x:v>↑</x:v>
      </x:c>
      <x:c r="M607" s="87" t="n">
        <x:f>MAX(0,G607/Control!$B$17)</x:f>
        <x:v>0.5105943769686155</x:v>
      </x:c>
      <x:c r="N607" s="73" t="n">
        <x:f>IF(N601&gt;0,N601,IF(G607&gt;=Control!$B$17,A607,0))</x:f>
        <x:v>0</x:v>
      </x:c>
      <x:c r="O607" s="91" t="n">
        <x:f>IF(N607&gt;0,Control!$B$17+Control!$B$8+1-N607,G607)-B607/100000</x:f>
        <x:v>342.0981725689724</x:v>
      </x:c>
      <x:c r="P607" s="73" t="n">
        <x:f>COUNTIF($O$602:$O$607,"&gt;"&amp;O607)+1</x:f>
        <x:v>2</x:v>
      </x:c>
      <x:c r="Q607" s="83" t="n">
        <x:f>MAX($G$602:$G$607)-G607</x:f>
        <x:v>3.5485686808458468</x:v>
      </x:c>
      <x:c r="R607" s="73" t="str">
        <x:f>INDEX(TrackMap!$B$8:$B$141,H607)</x:f>
        <x:v>东侧上行弯</x:v>
      </x:c>
    </x:row>
    <x:row r="608" ht="20" customHeight="1">
      <x:c r="A608" s="73" t="n">
        <x:v>100</x:v>
      </x:c>
      <x:c r="B608" s="73" t="n">
        <x:v>1</x:v>
      </x:c>
      <x:c r="C608" s="73" t="str">
        <x:f>INDEX(Drivers!$B$8:$B$13,B608)</x:f>
        <x:v>赤焰</x:v>
      </x:c>
      <x:c r="D608" s="83" t="n">
        <x:f>G602</x:f>
        <x:v>337.6067778522778</x:v>
      </x:c>
      <x:c r="E608" s="83" t="str">
        <x:f>IF(A608=0,"GRID",IF(D608&gt;=Control!$B$17,"FINISHED",IF(AND(A608&gt;=INDEX(Drivers!$G$8:$G$13,B608),A608&lt;INDEX(Drivers!$G$8:$G$13,B608)+INDEX(Drivers!$J$8:$J$13,B608)),"PIT",IF(MOD(A608+INDEX(Drivers!$F$8:$F$13,B608),Control!$B$11)&lt;Control!$B$13,"BOOST","RACE"))))</x:f>
        <x:v>RACE</x:v>
      </x:c>
      <x:c r="F608" s="83" t="n">
        <x:f>IF(OR(E608="GRID",E608="FINISHED",E608="PIT"),0,MAX(Control!$B$15,(INDEX(Drivers!$D$8:$D$13,B608)+INDEX(Drivers!$E$8:$E$13,B608)*SIN((A608+INDEX(Drivers!$F$8:$F$13,B608)+Control!$B$16)*Control!$B$14))*INDEX(TrackMap!$M$8:$M$141,MOD(INT(D608)-1,Control!$B$7)+1)*IF(E608="BOOST",Control!$B$12,1)))</x:f>
        <x:v>3.1146722705029113</x:v>
      </x:c>
      <x:c r="G608" s="83" t="n">
        <x:f>IF(A608=0,D608,MIN(Control!$B$17,D608+F608))</x:f>
        <x:v>340.7214501227807</x:v>
      </x:c>
      <x:c r="H608" s="73" t="n">
        <x:f>MOD(INT(G608)-1,Control!$B$7)+1</x:f>
        <x:v>72</x:v>
      </x:c>
      <x:c r="I608" s="73" t="n">
        <x:f>MIN(Control!$B$6,MAX(1,INT(MAX(0,G608)/Control!$B$7)+1))</x:f>
        <x:v>3</x:v>
      </x:c>
      <x:c r="J608" s="73" t="n">
        <x:f>INDEX(Drivers!$H$8:$H$13,B608)</x:f>
        <x:v>1</x:v>
      </x:c>
      <x:c r="K608" s="73" t="n">
        <x:f>IF(J608=1,INDEX(TrackMap!$I$8:$I$141,H608),INDEX(TrackMap!$L$8:$L$141,H608))</x:f>
        <x:v>1446</x:v>
      </x:c>
      <x:c r="L608" s="73" t="str">
        <x:f>INDEX(TrackMap!$F$8:$F$141,H608)</x:f>
        <x:v>↑</x:v>
      </x:c>
      <x:c r="M608" s="87" t="n">
        <x:f>MAX(0,G608/Control!$B$17)</x:f>
        <x:v>0.508539477795195</x:v>
      </x:c>
      <x:c r="N608" s="73" t="n">
        <x:f>IF(N602&gt;0,N602,IF(G608&gt;=Control!$B$17,A608,0))</x:f>
        <x:v>0</x:v>
      </x:c>
      <x:c r="O608" s="91" t="n">
        <x:f>IF(N608&gt;0,Control!$B$17+Control!$B$8+1-N608,G608)-B608/100000</x:f>
        <x:v>340.72144012278073</x:v>
      </x:c>
      <x:c r="P608" s="73" t="n">
        <x:f>COUNTIF($O$608:$O$613,"&gt;"&amp;O608)+1</x:f>
        <x:v>6</x:v>
      </x:c>
      <x:c r="Q608" s="83" t="n">
        <x:f>MAX($G$608:$G$613)-G608</x:f>
        <x:v>7.720121342881328</x:v>
      </x:c>
      <x:c r="R608" s="73" t="str">
        <x:f>INDEX(TrackMap!$B$8:$B$141,H608)</x:f>
        <x:v>东侧上行弯</x:v>
      </x:c>
    </x:row>
    <x:row r="609" ht="20" customHeight="1">
      <x:c r="A609" s="73" t="n">
        <x:v>100</x:v>
      </x:c>
      <x:c r="B609" s="73" t="n">
        <x:v>2</x:v>
      </x:c>
      <x:c r="C609" s="73" t="str">
        <x:f>INDEX(Drivers!$B$8:$B$13,B609)</x:f>
        <x:v>蓝电</x:v>
      </x:c>
      <x:c r="D609" s="83" t="n">
        <x:f>G603</x:f>
        <x:v>339.0573661468267</x:v>
      </x:c>
      <x:c r="E609" s="83" t="str">
        <x:f>IF(A609=0,"GRID",IF(D609&gt;=Control!$B$17,"FINISHED",IF(AND(A609&gt;=INDEX(Drivers!$G$8:$G$13,B609),A609&lt;INDEX(Drivers!$G$8:$G$13,B609)+INDEX(Drivers!$J$8:$J$13,B609)),"PIT",IF(MOD(A609+INDEX(Drivers!$F$8:$F$13,B609),Control!$B$11)&lt;Control!$B$13,"BOOST","RACE"))))</x:f>
        <x:v>RACE</x:v>
      </x:c>
      <x:c r="F609" s="83" t="n">
        <x:f>IF(OR(E609="GRID",E609="FINISHED",E609="PIT"),0,MAX(Control!$B$15,(INDEX(Drivers!$D$8:$D$13,B609)+INDEX(Drivers!$E$8:$E$13,B609)*SIN((A609+INDEX(Drivers!$F$8:$F$13,B609)+Control!$B$16)*Control!$B$14))*INDEX(TrackMap!$M$8:$M$141,MOD(INT(D609)-1,Control!$B$7)+1)*IF(E609="BOOST",Control!$B$12,1)))</x:f>
        <x:v>3.124087774623467</x:v>
      </x:c>
      <x:c r="G609" s="83" t="n">
        <x:f>IF(A609=0,D609,MIN(Control!$B$17,D609+F609))</x:f>
        <x:v>342.1814539214502</x:v>
      </x:c>
      <x:c r="H609" s="73" t="n">
        <x:f>MOD(INT(G609)-1,Control!$B$7)+1</x:f>
        <x:v>74</x:v>
      </x:c>
      <x:c r="I609" s="73" t="n">
        <x:f>MIN(Control!$B$6,MAX(1,INT(MAX(0,G609)/Control!$B$7)+1))</x:f>
        <x:v>3</x:v>
      </x:c>
      <x:c r="J609" s="73" t="n">
        <x:f>INDEX(Drivers!$H$8:$H$13,B609)</x:f>
        <x:v>2</x:v>
      </x:c>
      <x:c r="K609" s="73" t="n">
        <x:f>IF(J609=1,INDEX(TrackMap!$I$8:$I$141,H609),INDEX(TrackMap!$L$8:$L$141,H609))</x:f>
        <x:v>1245</x:v>
      </x:c>
      <x:c r="L609" s="73" t="str">
        <x:f>INDEX(TrackMap!$F$8:$F$141,H609)</x:f>
        <x:v>↑</x:v>
      </x:c>
      <x:c r="M609" s="87" t="n">
        <x:f>MAX(0,G609/Control!$B$17)</x:f>
        <x:v>0.510718587942463</x:v>
      </x:c>
      <x:c r="N609" s="73" t="n">
        <x:f>IF(N603&gt;0,N603,IF(G609&gt;=Control!$B$17,A609,0))</x:f>
        <x:v>0</x:v>
      </x:c>
      <x:c r="O609" s="91" t="n">
        <x:f>IF(N609&gt;0,Control!$B$17+Control!$B$8+1-N609,G609)-B609/100000</x:f>
        <x:v>342.1814339214502</x:v>
      </x:c>
      <x:c r="P609" s="73" t="n">
        <x:f>COUNTIF($O$608:$O$613,"&gt;"&amp;O609)+1</x:f>
        <x:v>4</x:v>
      </x:c>
      <x:c r="Q609" s="83" t="n">
        <x:f>MAX($G$608:$G$613)-G609</x:f>
        <x:v>6.260117544211823</x:v>
      </x:c>
      <x:c r="R609" s="73" t="str">
        <x:f>INDEX(TrackMap!$B$8:$B$141,H609)</x:f>
        <x:v>东侧上行弯</x:v>
      </x:c>
    </x:row>
    <x:row r="610" ht="20" customHeight="1">
      <x:c r="A610" s="73" t="n">
        <x:v>100</x:v>
      </x:c>
      <x:c r="B610" s="73" t="n">
        <x:v>3</x:v>
      </x:c>
      <x:c r="C610" s="73" t="str">
        <x:f>INDEX(Drivers!$B$8:$B$13,B610)</x:f>
        <x:v>金翼</x:v>
      </x:c>
      <x:c r="D610" s="83" t="n">
        <x:f>G604</x:f>
        <x:v>345.6468012498183</x:v>
      </x:c>
      <x:c r="E610" s="83" t="str">
        <x:f>IF(A610=0,"GRID",IF(D610&gt;=Control!$B$17,"FINISHED",IF(AND(A610&gt;=INDEX(Drivers!$G$8:$G$13,B610),A610&lt;INDEX(Drivers!$G$8:$G$13,B610)+INDEX(Drivers!$J$8:$J$13,B610)),"PIT",IF(MOD(A610+INDEX(Drivers!$F$8:$F$13,B610),Control!$B$11)&lt;Control!$B$13,"BOOST","RACE"))))</x:f>
        <x:v>RACE</x:v>
      </x:c>
      <x:c r="F610" s="83" t="n">
        <x:f>IF(OR(E610="GRID",E610="FINISHED",E610="PIT"),0,MAX(Control!$B$15,(INDEX(Drivers!$D$8:$D$13,B610)+INDEX(Drivers!$E$8:$E$13,B610)*SIN((A610+INDEX(Drivers!$F$8:$F$13,B610)+Control!$B$16)*Control!$B$14))*INDEX(TrackMap!$M$8:$M$141,MOD(INT(D610)-1,Control!$B$7)+1)*IF(E610="BOOST",Control!$B$12,1)))</x:f>
        <x:v>2.794770215843736</x:v>
      </x:c>
      <x:c r="G610" s="83" t="n">
        <x:f>IF(A610=0,D610,MIN(Control!$B$17,D610+F610))</x:f>
        <x:v>348.44157146566204</x:v>
      </x:c>
      <x:c r="H610" s="73" t="n">
        <x:f>MOD(INT(G610)-1,Control!$B$7)+1</x:f>
        <x:v>80</x:v>
      </x:c>
      <x:c r="I610" s="73" t="n">
        <x:f>MIN(Control!$B$6,MAX(1,INT(MAX(0,G610)/Control!$B$7)+1))</x:f>
        <x:v>3</x:v>
      </x:c>
      <x:c r="J610" s="73" t="n">
        <x:f>INDEX(Drivers!$H$8:$H$13,B610)</x:f>
        <x:v>1</x:v>
      </x:c>
      <x:c r="K610" s="73" t="n">
        <x:f>IF(J610=1,INDEX(TrackMap!$I$8:$I$141,H610),INDEX(TrackMap!$L$8:$L$141,H610))</x:f>
        <x:v>849</x:v>
      </x:c>
      <x:c r="L610" s="73" t="str">
        <x:f>INDEX(TrackMap!$F$8:$F$141,H610)</x:f>
        <x:v>→</x:v>
      </x:c>
      <x:c r="M610" s="87" t="n">
        <x:f>MAX(0,G610/Control!$B$17)</x:f>
        <x:v>0.5200620469636746</x:v>
      </x:c>
      <x:c r="N610" s="73" t="n">
        <x:f>IF(N604&gt;0,N604,IF(G610&gt;=Control!$B$17,A610,0))</x:f>
        <x:v>0</x:v>
      </x:c>
      <x:c r="O610" s="91" t="n">
        <x:f>IF(N610&gt;0,Control!$B$17+Control!$B$8+1-N610,G610)-B610/100000</x:f>
        <x:v>348.44154146566206</x:v>
      </x:c>
      <x:c r="P610" s="73" t="n">
        <x:f>COUNTIF($O$608:$O$613,"&gt;"&amp;O610)+1</x:f>
        <x:v>1</x:v>
      </x:c>
      <x:c r="Q610" s="83" t="n">
        <x:f>MAX($G$608:$G$613)-G610</x:f>
        <x:v>0</x:v>
      </x:c>
      <x:c r="R610" s="73" t="str">
        <x:f>INDEX(TrackMap!$B$8:$B$141,H610)</x:f>
        <x:v>东侧发卡弯</x:v>
      </x:c>
    </x:row>
    <x:row r="611" ht="20" customHeight="1">
      <x:c r="A611" s="73" t="n">
        <x:v>100</x:v>
      </x:c>
      <x:c r="B611" s="73" t="n">
        <x:v>4</x:v>
      </x:c>
      <x:c r="C611" s="73" t="str">
        <x:f>INDEX(Drivers!$B$8:$B$13,B611)</x:f>
        <x:v>紫影</x:v>
      </x:c>
      <x:c r="D611" s="83" t="n">
        <x:f>G605</x:f>
        <x:v>337.157964981881</x:v>
      </x:c>
      <x:c r="E611" s="83" t="str">
        <x:f>IF(A611=0,"GRID",IF(D611&gt;=Control!$B$17,"FINISHED",IF(AND(A611&gt;=INDEX(Drivers!$G$8:$G$13,B611),A611&lt;INDEX(Drivers!$G$8:$G$13,B611)+INDEX(Drivers!$J$8:$J$13,B611)),"PIT",IF(MOD(A611+INDEX(Drivers!$F$8:$F$13,B611),Control!$B$11)&lt;Control!$B$13,"BOOST","RACE"))))</x:f>
        <x:v>BOOST</x:v>
      </x:c>
      <x:c r="F611" s="83" t="n">
        <x:f>IF(OR(E611="GRID",E611="FINISHED",E611="PIT"),0,MAX(Control!$B$15,(INDEX(Drivers!$D$8:$D$13,B611)+INDEX(Drivers!$E$8:$E$13,B611)*SIN((A611+INDEX(Drivers!$F$8:$F$13,B611)+Control!$B$16)*Control!$B$14))*INDEX(TrackMap!$M$8:$M$141,MOD(INT(D611)-1,Control!$B$7)+1)*IF(E611="BOOST",Control!$B$12,1)))</x:f>
        <x:v>4.617054554467839</x:v>
      </x:c>
      <x:c r="G611" s="83" t="n">
        <x:f>IF(A611=0,D611,MIN(Control!$B$17,D611+F611))</x:f>
        <x:v>341.7750195363488</x:v>
      </x:c>
      <x:c r="H611" s="73" t="n">
        <x:f>MOD(INT(G611)-1,Control!$B$7)+1</x:f>
        <x:v>73</x:v>
      </x:c>
      <x:c r="I611" s="73" t="n">
        <x:f>MIN(Control!$B$6,MAX(1,INT(MAX(0,G611)/Control!$B$7)+1))</x:f>
        <x:v>3</x:v>
      </x:c>
      <x:c r="J611" s="73" t="n">
        <x:f>INDEX(Drivers!$H$8:$H$13,B611)</x:f>
        <x:v>2</x:v>
      </x:c>
      <x:c r="K611" s="73" t="n">
        <x:f>IF(J611=1,INDEX(TrackMap!$I$8:$I$141,H611),INDEX(TrackMap!$L$8:$L$141,H611))</x:f>
        <x:v>1345</x:v>
      </x:c>
      <x:c r="L611" s="73" t="str">
        <x:f>INDEX(TrackMap!$F$8:$F$141,H611)</x:f>
        <x:v>↑</x:v>
      </x:c>
      <x:c r="M611" s="87" t="n">
        <x:f>MAX(0,G611/Control!$B$17)</x:f>
        <x:v>0.510111969457237</x:v>
      </x:c>
      <x:c r="N611" s="73" t="n">
        <x:f>IF(N605&gt;0,N605,IF(G611&gt;=Control!$B$17,A611,0))</x:f>
        <x:v>0</x:v>
      </x:c>
      <x:c r="O611" s="91" t="n">
        <x:f>IF(N611&gt;0,Control!$B$17+Control!$B$8+1-N611,G611)-B611/100000</x:f>
        <x:v>341.7749795363488</x:v>
      </x:c>
      <x:c r="P611" s="73" t="n">
        <x:f>COUNTIF($O$608:$O$613,"&gt;"&amp;O611)+1</x:f>
        <x:v>5</x:v>
      </x:c>
      <x:c r="Q611" s="83" t="n">
        <x:f>MAX($G$608:$G$613)-G611</x:f>
        <x:v>6.666551929313243</x:v>
      </x:c>
      <x:c r="R611" s="73" t="str">
        <x:f>INDEX(TrackMap!$B$8:$B$141,H611)</x:f>
        <x:v>东侧上行弯</x:v>
      </x:c>
    </x:row>
    <x:row r="612" ht="20" customHeight="1">
      <x:c r="A612" s="73" t="n">
        <x:v>100</x:v>
      </x:c>
      <x:c r="B612" s="73" t="n">
        <x:v>5</x:v>
      </x:c>
      <x:c r="C612" s="73" t="str">
        <x:f>INDEX(Drivers!$B$8:$B$13,B612)</x:f>
        <x:v>青锋</x:v>
      </x:c>
      <x:c r="D612" s="83" t="n">
        <x:f>G606</x:f>
        <x:v>340.99106999050395</x:v>
      </x:c>
      <x:c r="E612" s="83" t="str">
        <x:f>IF(A612=0,"GRID",IF(D612&gt;=Control!$B$17,"FINISHED",IF(AND(A612&gt;=INDEX(Drivers!$G$8:$G$13,B612),A612&lt;INDEX(Drivers!$G$8:$G$13,B612)+INDEX(Drivers!$J$8:$J$13,B612)),"PIT",IF(MOD(A612+INDEX(Drivers!$F$8:$F$13,B612),Control!$B$11)&lt;Control!$B$13,"BOOST","RACE"))))</x:f>
        <x:v>RACE</x:v>
      </x:c>
      <x:c r="F612" s="83" t="n">
        <x:f>IF(OR(E612="GRID",E612="FINISHED",E612="PIT"),0,MAX(Control!$B$15,(INDEX(Drivers!$D$8:$D$13,B612)+INDEX(Drivers!$E$8:$E$13,B612)*SIN((A612+INDEX(Drivers!$F$8:$F$13,B612)+Control!$B$16)*Control!$B$14))*INDEX(TrackMap!$M$8:$M$141,MOD(INT(D612)-1,Control!$B$7)+1)*IF(E612="BOOST",Control!$B$12,1)))</x:f>
        <x:v>2.7029277148691895</x:v>
      </x:c>
      <x:c r="G612" s="83" t="n">
        <x:f>IF(A612=0,D612,MIN(Control!$B$17,D612+F612))</x:f>
        <x:v>343.69399770537314</x:v>
      </x:c>
      <x:c r="H612" s="73" t="n">
        <x:f>MOD(INT(G612)-1,Control!$B$7)+1</x:f>
        <x:v>75</x:v>
      </x:c>
      <x:c r="I612" s="73" t="n">
        <x:f>MIN(Control!$B$6,MAX(1,INT(MAX(0,G612)/Control!$B$7)+1))</x:f>
        <x:v>3</x:v>
      </x:c>
      <x:c r="J612" s="73" t="n">
        <x:f>INDEX(Drivers!$H$8:$H$13,B612)</x:f>
        <x:v>1</x:v>
      </x:c>
      <x:c r="K612" s="73" t="n">
        <x:f>IF(J612=1,INDEX(TrackMap!$I$8:$I$141,H612),INDEX(TrackMap!$L$8:$L$141,H612))</x:f>
        <x:v>1146</x:v>
      </x:c>
      <x:c r="L612" s="73" t="str">
        <x:f>INDEX(TrackMap!$F$8:$F$141,H612)</x:f>
        <x:v>↑</x:v>
      </x:c>
      <x:c r="M612" s="87" t="n">
        <x:f>MAX(0,G612/Control!$B$17)</x:f>
        <x:v>0.5129761159781688</x:v>
      </x:c>
      <x:c r="N612" s="73" t="n">
        <x:f>IF(N606&gt;0,N606,IF(G612&gt;=Control!$B$17,A612,0))</x:f>
        <x:v>0</x:v>
      </x:c>
      <x:c r="O612" s="91" t="n">
        <x:f>IF(N612&gt;0,Control!$B$17+Control!$B$8+1-N612,G612)-B612/100000</x:f>
        <x:v>343.69394770537315</x:v>
      </x:c>
      <x:c r="P612" s="73" t="n">
        <x:f>COUNTIF($O$608:$O$613,"&gt;"&amp;O612)+1</x:f>
        <x:v>3</x:v>
      </x:c>
      <x:c r="Q612" s="83" t="n">
        <x:f>MAX($G$608:$G$613)-G612</x:f>
        <x:v>4.747573760288901</x:v>
      </x:c>
      <x:c r="R612" s="73" t="str">
        <x:f>INDEX(TrackMap!$B$8:$B$141,H612)</x:f>
        <x:v>东侧上行弯</x:v>
      </x:c>
    </x:row>
    <x:row r="613" ht="20" customHeight="1">
      <x:c r="A613" s="73" t="n">
        <x:v>100</x:v>
      </x:c>
      <x:c r="B613" s="73" t="n">
        <x:v>6</x:v>
      </x:c>
      <x:c r="C613" s="73" t="str">
        <x:f>INDEX(Drivers!$B$8:$B$13,B613)</x:f>
        <x:v>玫速</x:v>
      </x:c>
      <x:c r="D613" s="83" t="n">
        <x:f>G607</x:f>
        <x:v>342.09823256897243</x:v>
      </x:c>
      <x:c r="E613" s="83" t="str">
        <x:f>IF(A613=0,"GRID",IF(D613&gt;=Control!$B$17,"FINISHED",IF(AND(A613&gt;=INDEX(Drivers!$G$8:$G$13,B613),A613&lt;INDEX(Drivers!$G$8:$G$13,B613)+INDEX(Drivers!$J$8:$J$13,B613)),"PIT",IF(MOD(A613+INDEX(Drivers!$F$8:$F$13,B613),Control!$B$11)&lt;Control!$B$13,"BOOST","RACE"))))</x:f>
        <x:v>RACE</x:v>
      </x:c>
      <x:c r="F613" s="83" t="n">
        <x:f>IF(OR(E613="GRID",E613="FINISHED",E613="PIT"),0,MAX(Control!$B$15,(INDEX(Drivers!$D$8:$D$13,B613)+INDEX(Drivers!$E$8:$E$13,B613)*SIN((A613+INDEX(Drivers!$F$8:$F$13,B613)+Control!$B$16)*Control!$B$14))*INDEX(TrackMap!$M$8:$M$141,MOD(INT(D613)-1,Control!$B$7)+1)*IF(E613="BOOST",Control!$B$12,1)))</x:f>
        <x:v>3.229277093853972</x:v>
      </x:c>
      <x:c r="G613" s="83" t="n">
        <x:f>IF(A613=0,D613,MIN(Control!$B$17,D613+F613))</x:f>
        <x:v>345.3275096628264</x:v>
      </x:c>
      <x:c r="H613" s="73" t="n">
        <x:f>MOD(INT(G613)-1,Control!$B$7)+1</x:f>
        <x:v>77</x:v>
      </x:c>
      <x:c r="I613" s="73" t="n">
        <x:f>MIN(Control!$B$6,MAX(1,INT(MAX(0,G613)/Control!$B$7)+1))</x:f>
        <x:v>3</x:v>
      </x:c>
      <x:c r="J613" s="73" t="n">
        <x:f>INDEX(Drivers!$H$8:$H$13,B613)</x:f>
        <x:v>2</x:v>
      </x:c>
      <x:c r="K613" s="73" t="n">
        <x:f>IF(J613=1,INDEX(TrackMap!$I$8:$I$141,H613),INDEX(TrackMap!$L$8:$L$141,H613))</x:f>
        <x:v>946</x:v>
      </x:c>
      <x:c r="L613" s="73" t="str">
        <x:f>INDEX(TrackMap!$F$8:$F$141,H613)</x:f>
        <x:v>→</x:v>
      </x:c>
      <x:c r="M613" s="87" t="n">
        <x:f>MAX(0,G613/Control!$B$17)</x:f>
        <x:v>0.5154141935266066</x:v>
      </x:c>
      <x:c r="N613" s="73" t="n">
        <x:f>IF(N607&gt;0,N607,IF(G613&gt;=Control!$B$17,A613,0))</x:f>
        <x:v>0</x:v>
      </x:c>
      <x:c r="O613" s="91" t="n">
        <x:f>IF(N613&gt;0,Control!$B$17+Control!$B$8+1-N613,G613)-B613/100000</x:f>
        <x:v>345.3274496628264</x:v>
      </x:c>
      <x:c r="P613" s="73" t="n">
        <x:f>COUNTIF($O$608:$O$613,"&gt;"&amp;O613)+1</x:f>
        <x:v>2</x:v>
      </x:c>
      <x:c r="Q613" s="83" t="n">
        <x:f>MAX($G$608:$G$613)-G613</x:f>
        <x:v>3.1140618028356357</x:v>
      </x:c>
      <x:c r="R613" s="73" t="str">
        <x:f>INDEX(TrackMap!$B$8:$B$141,H613)</x:f>
        <x:v>东侧发卡弯</x:v>
      </x:c>
    </x:row>
    <x:row r="614" ht="20" customHeight="1">
      <x:c r="A614" s="73" t="n">
        <x:v>101</x:v>
      </x:c>
      <x:c r="B614" s="73" t="n">
        <x:v>1</x:v>
      </x:c>
      <x:c r="C614" s="73" t="str">
        <x:f>INDEX(Drivers!$B$8:$B$13,B614)</x:f>
        <x:v>赤焰</x:v>
      </x:c>
      <x:c r="D614" s="83" t="n">
        <x:f>G608</x:f>
        <x:v>340.7214501227807</x:v>
      </x:c>
      <x:c r="E614" s="83" t="str">
        <x:f>IF(A614=0,"GRID",IF(D614&gt;=Control!$B$17,"FINISHED",IF(AND(A614&gt;=INDEX(Drivers!$G$8:$G$13,B614),A614&lt;INDEX(Drivers!$G$8:$G$13,B614)+INDEX(Drivers!$J$8:$J$13,B614)),"PIT",IF(MOD(A614+INDEX(Drivers!$F$8:$F$13,B614),Control!$B$11)&lt;Control!$B$13,"BOOST","RACE"))))</x:f>
        <x:v>RACE</x:v>
      </x:c>
      <x:c r="F614" s="83" t="n">
        <x:f>IF(OR(E614="GRID",E614="FINISHED",E614="PIT"),0,MAX(Control!$B$15,(INDEX(Drivers!$D$8:$D$13,B614)+INDEX(Drivers!$E$8:$E$13,B614)*SIN((A614+INDEX(Drivers!$F$8:$F$13,B614)+Control!$B$16)*Control!$B$14))*INDEX(TrackMap!$M$8:$M$141,MOD(INT(D614)-1,Control!$B$7)+1)*IF(E614="BOOST",Control!$B$12,1)))</x:f>
        <x:v>2.4221079707962585</x:v>
      </x:c>
      <x:c r="G614" s="83" t="n">
        <x:f>IF(A614=0,D614,MIN(Control!$B$17,D614+F614))</x:f>
        <x:v>343.143558093577</x:v>
      </x:c>
      <x:c r="H614" s="73" t="n">
        <x:f>MOD(INT(G614)-1,Control!$B$7)+1</x:f>
        <x:v>75</x:v>
      </x:c>
      <x:c r="I614" s="73" t="n">
        <x:f>MIN(Control!$B$6,MAX(1,INT(MAX(0,G614)/Control!$B$7)+1))</x:f>
        <x:v>3</x:v>
      </x:c>
      <x:c r="J614" s="73" t="n">
        <x:f>INDEX(Drivers!$H$8:$H$13,B614)</x:f>
        <x:v>1</x:v>
      </x:c>
      <x:c r="K614" s="73" t="n">
        <x:f>IF(J614=1,INDEX(TrackMap!$I$8:$I$141,H614),INDEX(TrackMap!$L$8:$L$141,H614))</x:f>
        <x:v>1146</x:v>
      </x:c>
      <x:c r="L614" s="73" t="str">
        <x:f>INDEX(TrackMap!$F$8:$F$141,H614)</x:f>
        <x:v>↑</x:v>
      </x:c>
      <x:c r="M614" s="87" t="n">
        <x:f>MAX(0,G614/Control!$B$17)</x:f>
        <x:v>0.5121545643187716</x:v>
      </x:c>
      <x:c r="N614" s="73" t="n">
        <x:f>IF(N608&gt;0,N608,IF(G614&gt;=Control!$B$17,A614,0))</x:f>
        <x:v>0</x:v>
      </x:c>
      <x:c r="O614" s="91" t="n">
        <x:f>IF(N614&gt;0,Control!$B$17+Control!$B$8+1-N614,G614)-B614/100000</x:f>
        <x:v>343.143548093577</x:v>
      </x:c>
      <x:c r="P614" s="73" t="n">
        <x:f>COUNTIF($O$614:$O$619,"&gt;"&amp;O614)+1</x:f>
        <x:v>6</x:v>
      </x:c>
      <x:c r="Q614" s="83" t="n">
        <x:f>MAX($G$614:$G$619)-G614</x:f>
        <x:v>7.961840175036798</x:v>
      </x:c>
      <x:c r="R614" s="73" t="str">
        <x:f>INDEX(TrackMap!$B$8:$B$141,H614)</x:f>
        <x:v>东侧上行弯</x:v>
      </x:c>
    </x:row>
    <x:row r="615" ht="20" customHeight="1">
      <x:c r="A615" s="73" t="n">
        <x:v>101</x:v>
      </x:c>
      <x:c r="B615" s="73" t="n">
        <x:v>2</x:v>
      </x:c>
      <x:c r="C615" s="73" t="str">
        <x:f>INDEX(Drivers!$B$8:$B$13,B615)</x:f>
        <x:v>蓝电</x:v>
      </x:c>
      <x:c r="D615" s="83" t="n">
        <x:f>G609</x:f>
        <x:v>342.1814539214502</x:v>
      </x:c>
      <x:c r="E615" s="83" t="str">
        <x:f>IF(A615=0,"GRID",IF(D615&gt;=Control!$B$17,"FINISHED",IF(AND(A615&gt;=INDEX(Drivers!$G$8:$G$13,B615),A615&lt;INDEX(Drivers!$G$8:$G$13,B615)+INDEX(Drivers!$J$8:$J$13,B615)),"PIT",IF(MOD(A615+INDEX(Drivers!$F$8:$F$13,B615),Control!$B$11)&lt;Control!$B$13,"BOOST","RACE"))))</x:f>
        <x:v>RACE</x:v>
      </x:c>
      <x:c r="F615" s="83" t="n">
        <x:f>IF(OR(E615="GRID",E615="FINISHED",E615="PIT"),0,MAX(Control!$B$15,(INDEX(Drivers!$D$8:$D$13,B615)+INDEX(Drivers!$E$8:$E$13,B615)*SIN((A615+INDEX(Drivers!$F$8:$F$13,B615)+Control!$B$16)*Control!$B$14))*INDEX(TrackMap!$M$8:$M$141,MOD(INT(D615)-1,Control!$B$7)+1)*IF(E615="BOOST",Control!$B$12,1)))</x:f>
        <x:v>3.221033406741444</x:v>
      </x:c>
      <x:c r="G615" s="83" t="n">
        <x:f>IF(A615=0,D615,MIN(Control!$B$17,D615+F615))</x:f>
        <x:v>345.4024873281917</x:v>
      </x:c>
      <x:c r="H615" s="73" t="n">
        <x:f>MOD(INT(G615)-1,Control!$B$7)+1</x:f>
        <x:v>77</x:v>
      </x:c>
      <x:c r="I615" s="73" t="n">
        <x:f>MIN(Control!$B$6,MAX(1,INT(MAX(0,G615)/Control!$B$7)+1))</x:f>
        <x:v>3</x:v>
      </x:c>
      <x:c r="J615" s="73" t="n">
        <x:f>INDEX(Drivers!$H$8:$H$13,B615)</x:f>
        <x:v>2</x:v>
      </x:c>
      <x:c r="K615" s="73" t="n">
        <x:f>IF(J615=1,INDEX(TrackMap!$I$8:$I$141,H615),INDEX(TrackMap!$L$8:$L$141,H615))</x:f>
        <x:v>946</x:v>
      </x:c>
      <x:c r="L615" s="73" t="str">
        <x:f>INDEX(TrackMap!$F$8:$F$141,H615)</x:f>
        <x:v>→</x:v>
      </x:c>
      <x:c r="M615" s="87" t="n">
        <x:f>MAX(0,G615/Control!$B$17)</x:f>
        <x:v>0.5155261004898384</x:v>
      </x:c>
      <x:c r="N615" s="73" t="n">
        <x:f>IF(N609&gt;0,N609,IF(G615&gt;=Control!$B$17,A615,0))</x:f>
        <x:v>0</x:v>
      </x:c>
      <x:c r="O615" s="91" t="n">
        <x:f>IF(N615&gt;0,Control!$B$17+Control!$B$8+1-N615,G615)-B615/100000</x:f>
        <x:v>345.4024673281917</x:v>
      </x:c>
      <x:c r="P615" s="73" t="n">
        <x:f>COUNTIF($O$614:$O$619,"&gt;"&amp;O615)+1</x:f>
        <x:v>5</x:v>
      </x:c>
      <x:c r="Q615" s="83" t="n">
        <x:f>MAX($G$614:$G$619)-G615</x:f>
        <x:v>5.7029109404221</x:v>
      </x:c>
      <x:c r="R615" s="73" t="str">
        <x:f>INDEX(TrackMap!$B$8:$B$141,H615)</x:f>
        <x:v>东侧发卡弯</x:v>
      </x:c>
    </x:row>
    <x:row r="616" ht="20" customHeight="1">
      <x:c r="A616" s="73" t="n">
        <x:v>101</x:v>
      </x:c>
      <x:c r="B616" s="73" t="n">
        <x:v>3</x:v>
      </x:c>
      <x:c r="C616" s="73" t="str">
        <x:f>INDEX(Drivers!$B$8:$B$13,B616)</x:f>
        <x:v>金翼</x:v>
      </x:c>
      <x:c r="D616" s="83" t="n">
        <x:f>G610</x:f>
        <x:v>348.44157146566204</x:v>
      </x:c>
      <x:c r="E616" s="83" t="str">
        <x:f>IF(A616=0,"GRID",IF(D616&gt;=Control!$B$17,"FINISHED",IF(AND(A616&gt;=INDEX(Drivers!$G$8:$G$13,B616),A616&lt;INDEX(Drivers!$G$8:$G$13,B616)+INDEX(Drivers!$J$8:$J$13,B616)),"PIT",IF(MOD(A616+INDEX(Drivers!$F$8:$F$13,B616),Control!$B$11)&lt;Control!$B$13,"BOOST","RACE"))))</x:f>
        <x:v>RACE</x:v>
      </x:c>
      <x:c r="F616" s="83" t="n">
        <x:f>IF(OR(E616="GRID",E616="FINISHED",E616="PIT"),0,MAX(Control!$B$15,(INDEX(Drivers!$D$8:$D$13,B616)+INDEX(Drivers!$E$8:$E$13,B616)*SIN((A616+INDEX(Drivers!$F$8:$F$13,B616)+Control!$B$16)*Control!$B$14))*INDEX(TrackMap!$M$8:$M$141,MOD(INT(D616)-1,Control!$B$7)+1)*IF(E616="BOOST",Control!$B$12,1)))</x:f>
        <x:v>2.663826802951728</x:v>
      </x:c>
      <x:c r="G616" s="83" t="n">
        <x:f>IF(A616=0,D616,MIN(Control!$B$17,D616+F616))</x:f>
        <x:v>351.1053982686138</x:v>
      </x:c>
      <x:c r="H616" s="73" t="n">
        <x:f>MOD(INT(G616)-1,Control!$B$7)+1</x:f>
        <x:v>83</x:v>
      </x:c>
      <x:c r="I616" s="73" t="n">
        <x:f>MIN(Control!$B$6,MAX(1,INT(MAX(0,G616)/Control!$B$7)+1))</x:f>
        <x:v>3</x:v>
      </x:c>
      <x:c r="J616" s="73" t="n">
        <x:f>INDEX(Drivers!$H$8:$H$13,B616)</x:f>
        <x:v>1</x:v>
      </x:c>
      <x:c r="K616" s="73" t="n">
        <x:f>IF(J616=1,INDEX(TrackMap!$I$8:$I$141,H616),INDEX(TrackMap!$L$8:$L$141,H616))</x:f>
        <x:v>1252</x:v>
      </x:c>
      <x:c r="L616" s="73" t="str">
        <x:f>INDEX(TrackMap!$F$8:$F$141,H616)</x:f>
        <x:v>↓</x:v>
      </x:c>
      <x:c r="M616" s="87" t="n">
        <x:f>MAX(0,G616/Control!$B$17)</x:f>
        <x:v>0.5240379078636027</x:v>
      </x:c>
      <x:c r="N616" s="73" t="n">
        <x:f>IF(N610&gt;0,N610,IF(G616&gt;=Control!$B$17,A616,0))</x:f>
        <x:v>0</x:v>
      </x:c>
      <x:c r="O616" s="91" t="n">
        <x:f>IF(N616&gt;0,Control!$B$17+Control!$B$8+1-N616,G616)-B616/100000</x:f>
        <x:v>351.1053682686138</x:v>
      </x:c>
      <x:c r="P616" s="73" t="n">
        <x:f>COUNTIF($O$614:$O$619,"&gt;"&amp;O616)+1</x:f>
        <x:v>1</x:v>
      </x:c>
      <x:c r="Q616" s="83" t="n">
        <x:f>MAX($G$614:$G$619)-G616</x:f>
        <x:v>0</x:v>
      </x:c>
      <x:c r="R616" s="73" t="str">
        <x:f>INDEX(TrackMap!$B$8:$B$141,H616)</x:f>
        <x:v>东侧长直道</x:v>
      </x:c>
    </x:row>
    <x:row r="617" ht="20" customHeight="1">
      <x:c r="A617" s="73" t="n">
        <x:v>101</x:v>
      </x:c>
      <x:c r="B617" s="73" t="n">
        <x:v>4</x:v>
      </x:c>
      <x:c r="C617" s="73" t="str">
        <x:f>INDEX(Drivers!$B$8:$B$13,B617)</x:f>
        <x:v>紫影</x:v>
      </x:c>
      <x:c r="D617" s="83" t="n">
        <x:f>G611</x:f>
        <x:v>341.7750195363488</x:v>
      </x:c>
      <x:c r="E617" s="83" t="str">
        <x:f>IF(A617=0,"GRID",IF(D617&gt;=Control!$B$17,"FINISHED",IF(AND(A617&gt;=INDEX(Drivers!$G$8:$G$13,B617),A617&lt;INDEX(Drivers!$G$8:$G$13,B617)+INDEX(Drivers!$J$8:$J$13,B617)),"PIT",IF(MOD(A617+INDEX(Drivers!$F$8:$F$13,B617),Control!$B$11)&lt;Control!$B$13,"BOOST","RACE"))))</x:f>
        <x:v>BOOST</x:v>
      </x:c>
      <x:c r="F617" s="83" t="n">
        <x:f>IF(OR(E617="GRID",E617="FINISHED",E617="PIT"),0,MAX(Control!$B$15,(INDEX(Drivers!$D$8:$D$13,B617)+INDEX(Drivers!$E$8:$E$13,B617)*SIN((A617+INDEX(Drivers!$F$8:$F$13,B617)+Control!$B$16)*Control!$B$14))*INDEX(TrackMap!$M$8:$M$141,MOD(INT(D617)-1,Control!$B$7)+1)*IF(E617="BOOST",Control!$B$12,1)))</x:f>
        <x:v>3.824079552854108</x:v>
      </x:c>
      <x:c r="G617" s="83" t="n">
        <x:f>IF(A617=0,D617,MIN(Control!$B$17,D617+F617))</x:f>
        <x:v>345.5990990892029</x:v>
      </x:c>
      <x:c r="H617" s="73" t="n">
        <x:f>MOD(INT(G617)-1,Control!$B$7)+1</x:f>
        <x:v>77</x:v>
      </x:c>
      <x:c r="I617" s="73" t="n">
        <x:f>MIN(Control!$B$6,MAX(1,INT(MAX(0,G617)/Control!$B$7)+1))</x:f>
        <x:v>3</x:v>
      </x:c>
      <x:c r="J617" s="73" t="n">
        <x:f>INDEX(Drivers!$H$8:$H$13,B617)</x:f>
        <x:v>2</x:v>
      </x:c>
      <x:c r="K617" s="73" t="n">
        <x:f>IF(J617=1,INDEX(TrackMap!$I$8:$I$141,H617),INDEX(TrackMap!$L$8:$L$141,H617))</x:f>
        <x:v>946</x:v>
      </x:c>
      <x:c r="L617" s="73" t="str">
        <x:f>INDEX(TrackMap!$F$8:$F$141,H617)</x:f>
        <x:v>→</x:v>
      </x:c>
      <x:c r="M617" s="87" t="n">
        <x:f>MAX(0,G617/Control!$B$17)</x:f>
        <x:v>0.5158195508794073</x:v>
      </x:c>
      <x:c r="N617" s="73" t="n">
        <x:f>IF(N611&gt;0,N611,IF(G617&gt;=Control!$B$17,A617,0))</x:f>
        <x:v>0</x:v>
      </x:c>
      <x:c r="O617" s="91" t="n">
        <x:f>IF(N617&gt;0,Control!$B$17+Control!$B$8+1-N617,G617)-B617/100000</x:f>
        <x:v>345.5990590892029</x:v>
      </x:c>
      <x:c r="P617" s="73" t="n">
        <x:f>COUNTIF($O$614:$O$619,"&gt;"&amp;O617)+1</x:f>
        <x:v>4</x:v>
      </x:c>
      <x:c r="Q617" s="83" t="n">
        <x:f>MAX($G$614:$G$619)-G617</x:f>
        <x:v>5.50629917941086</x:v>
      </x:c>
      <x:c r="R617" s="73" t="str">
        <x:f>INDEX(TrackMap!$B$8:$B$141,H617)</x:f>
        <x:v>东侧发卡弯</x:v>
      </x:c>
    </x:row>
    <x:row r="618" ht="20" customHeight="1">
      <x:c r="A618" s="73" t="n">
        <x:v>101</x:v>
      </x:c>
      <x:c r="B618" s="73" t="n">
        <x:v>5</x:v>
      </x:c>
      <x:c r="C618" s="73" t="str">
        <x:f>INDEX(Drivers!$B$8:$B$13,B618)</x:f>
        <x:v>青锋</x:v>
      </x:c>
      <x:c r="D618" s="83" t="n">
        <x:f>G612</x:f>
        <x:v>343.69399770537314</x:v>
      </x:c>
      <x:c r="E618" s="83" t="str">
        <x:f>IF(A618=0,"GRID",IF(D618&gt;=Control!$B$17,"FINISHED",IF(AND(A618&gt;=INDEX(Drivers!$G$8:$G$13,B618),A618&lt;INDEX(Drivers!$G$8:$G$13,B618)+INDEX(Drivers!$J$8:$J$13,B618)),"PIT",IF(MOD(A618+INDEX(Drivers!$F$8:$F$13,B618),Control!$B$11)&lt;Control!$B$13,"BOOST","RACE"))))</x:f>
        <x:v>RACE</x:v>
      </x:c>
      <x:c r="F618" s="83" t="n">
        <x:f>IF(OR(E618="GRID",E618="FINISHED",E618="PIT"),0,MAX(Control!$B$15,(INDEX(Drivers!$D$8:$D$13,B618)+INDEX(Drivers!$E$8:$E$13,B618)*SIN((A618+INDEX(Drivers!$F$8:$F$13,B618)+Control!$B$16)*Control!$B$14))*INDEX(TrackMap!$M$8:$M$141,MOD(INT(D618)-1,Control!$B$7)+1)*IF(E618="BOOST",Control!$B$12,1)))</x:f>
        <x:v>2.8507409386574376</x:v>
      </x:c>
      <x:c r="G618" s="83" t="n">
        <x:f>IF(A618=0,D618,MIN(Control!$B$17,D618+F618))</x:f>
        <x:v>346.5447386440306</x:v>
      </x:c>
      <x:c r="H618" s="73" t="n">
        <x:f>MOD(INT(G618)-1,Control!$B$7)+1</x:f>
        <x:v>78</x:v>
      </x:c>
      <x:c r="I618" s="73" t="n">
        <x:f>MIN(Control!$B$6,MAX(1,INT(MAX(0,G618)/Control!$B$7)+1))</x:f>
        <x:v>3</x:v>
      </x:c>
      <x:c r="J618" s="73" t="n">
        <x:f>INDEX(Drivers!$H$8:$H$13,B618)</x:f>
        <x:v>1</x:v>
      </x:c>
      <x:c r="K618" s="73" t="n">
        <x:f>IF(J618=1,INDEX(TrackMap!$I$8:$I$141,H618),INDEX(TrackMap!$L$8:$L$141,H618))</x:f>
        <x:v>847</x:v>
      </x:c>
      <x:c r="L618" s="73" t="str">
        <x:f>INDEX(TrackMap!$F$8:$F$141,H618)</x:f>
        <x:v>→</x:v>
      </x:c>
      <x:c r="M618" s="87" t="n">
        <x:f>MAX(0,G618/Control!$B$17)</x:f>
        <x:v>0.5172309532000456</x:v>
      </x:c>
      <x:c r="N618" s="73" t="n">
        <x:f>IF(N612&gt;0,N612,IF(G618&gt;=Control!$B$17,A618,0))</x:f>
        <x:v>0</x:v>
      </x:c>
      <x:c r="O618" s="91" t="n">
        <x:f>IF(N618&gt;0,Control!$B$17+Control!$B$8+1-N618,G618)-B618/100000</x:f>
        <x:v>346.5446886440306</x:v>
      </x:c>
      <x:c r="P618" s="73" t="n">
        <x:f>COUNTIF($O$614:$O$619,"&gt;"&amp;O618)+1</x:f>
        <x:v>3</x:v>
      </x:c>
      <x:c r="Q618" s="83" t="n">
        <x:f>MAX($G$614:$G$619)-G618</x:f>
        <x:v>4.560659624583195</x:v>
      </x:c>
      <x:c r="R618" s="73" t="str">
        <x:f>INDEX(TrackMap!$B$8:$B$141,H618)</x:f>
        <x:v>东侧发卡弯</x:v>
      </x:c>
    </x:row>
    <x:row r="619" ht="20" customHeight="1">
      <x:c r="A619" s="73" t="n">
        <x:v>101</x:v>
      </x:c>
      <x:c r="B619" s="73" t="n">
        <x:v>6</x:v>
      </x:c>
      <x:c r="C619" s="73" t="str">
        <x:f>INDEX(Drivers!$B$8:$B$13,B619)</x:f>
        <x:v>玫速</x:v>
      </x:c>
      <x:c r="D619" s="83" t="n">
        <x:f>G613</x:f>
        <x:v>345.3275096628264</x:v>
      </x:c>
      <x:c r="E619" s="83" t="str">
        <x:f>IF(A619=0,"GRID",IF(D619&gt;=Control!$B$17,"FINISHED",IF(AND(A619&gt;=INDEX(Drivers!$G$8:$G$13,B619),A619&lt;INDEX(Drivers!$G$8:$G$13,B619)+INDEX(Drivers!$J$8:$J$13,B619)),"PIT",IF(MOD(A619+INDEX(Drivers!$F$8:$F$13,B619),Control!$B$11)&lt;Control!$B$13,"BOOST","RACE"))))</x:f>
        <x:v>RACE</x:v>
      </x:c>
      <x:c r="F619" s="83" t="n">
        <x:f>IF(OR(E619="GRID",E619="FINISHED",E619="PIT"),0,MAX(Control!$B$15,(INDEX(Drivers!$D$8:$D$13,B619)+INDEX(Drivers!$E$8:$E$13,B619)*SIN((A619+INDEX(Drivers!$F$8:$F$13,B619)+Control!$B$16)*Control!$B$14))*INDEX(TrackMap!$M$8:$M$141,MOD(INT(D619)-1,Control!$B$7)+1)*IF(E619="BOOST",Control!$B$12,1)))</x:f>
        <x:v>3.0963670266518477</x:v>
      </x:c>
      <x:c r="G619" s="83" t="n">
        <x:f>IF(A619=0,D619,MIN(Control!$B$17,D619+F619))</x:f>
        <x:v>348.4238766894782</x:v>
      </x:c>
      <x:c r="H619" s="73" t="n">
        <x:f>MOD(INT(G619)-1,Control!$B$7)+1</x:f>
        <x:v>80</x:v>
      </x:c>
      <x:c r="I619" s="73" t="n">
        <x:f>MIN(Control!$B$6,MAX(1,INT(MAX(0,G619)/Control!$B$7)+1))</x:f>
        <x:v>3</x:v>
      </x:c>
      <x:c r="J619" s="73" t="n">
        <x:f>INDEX(Drivers!$H$8:$H$13,B619)</x:f>
        <x:v>2</x:v>
      </x:c>
      <x:c r="K619" s="73" t="n">
        <x:f>IF(J619=1,INDEX(TrackMap!$I$8:$I$141,H619),INDEX(TrackMap!$L$8:$L$141,H619))</x:f>
        <x:v>949</x:v>
      </x:c>
      <x:c r="L619" s="73" t="str">
        <x:f>INDEX(TrackMap!$F$8:$F$141,H619)</x:f>
        <x:v>→</x:v>
      </x:c>
      <x:c r="M619" s="87" t="n">
        <x:f>MAX(0,G619/Control!$B$17)</x:f>
        <x:v>0.5200356368499675</x:v>
      </x:c>
      <x:c r="N619" s="73" t="n">
        <x:f>IF(N613&gt;0,N613,IF(G619&gt;=Control!$B$17,A619,0))</x:f>
        <x:v>0</x:v>
      </x:c>
      <x:c r="O619" s="91" t="n">
        <x:f>IF(N619&gt;0,Control!$B$17+Control!$B$8+1-N619,G619)-B619/100000</x:f>
        <x:v>348.4238166894782</x:v>
      </x:c>
      <x:c r="P619" s="73" t="n">
        <x:f>COUNTIF($O$614:$O$619,"&gt;"&amp;O619)+1</x:f>
        <x:v>2</x:v>
      </x:c>
      <x:c r="Q619" s="83" t="n">
        <x:f>MAX($G$614:$G$619)-G619</x:f>
        <x:v>2.6815215791355627</x:v>
      </x:c>
      <x:c r="R619" s="73" t="str">
        <x:f>INDEX(TrackMap!$B$8:$B$141,H619)</x:f>
        <x:v>东侧发卡弯</x:v>
      </x:c>
    </x:row>
    <x:row r="620" ht="20" customHeight="1">
      <x:c r="A620" s="73" t="n">
        <x:v>102</x:v>
      </x:c>
      <x:c r="B620" s="73" t="n">
        <x:v>1</x:v>
      </x:c>
      <x:c r="C620" s="73" t="str">
        <x:f>INDEX(Drivers!$B$8:$B$13,B620)</x:f>
        <x:v>赤焰</x:v>
      </x:c>
      <x:c r="D620" s="83" t="n">
        <x:f>G614</x:f>
        <x:v>343.143558093577</x:v>
      </x:c>
      <x:c r="E620" s="83" t="str">
        <x:f>IF(A620=0,"GRID",IF(D620&gt;=Control!$B$17,"FINISHED",IF(AND(A620&gt;=INDEX(Drivers!$G$8:$G$13,B620),A620&lt;INDEX(Drivers!$G$8:$G$13,B620)+INDEX(Drivers!$J$8:$J$13,B620)),"PIT",IF(MOD(A620+INDEX(Drivers!$F$8:$F$13,B620),Control!$B$11)&lt;Control!$B$13,"BOOST","RACE"))))</x:f>
        <x:v>RACE</x:v>
      </x:c>
      <x:c r="F620" s="83" t="n">
        <x:f>IF(OR(E620="GRID",E620="FINISHED",E620="PIT"),0,MAX(Control!$B$15,(INDEX(Drivers!$D$8:$D$13,B620)+INDEX(Drivers!$E$8:$E$13,B620)*SIN((A620+INDEX(Drivers!$F$8:$F$13,B620)+Control!$B$16)*Control!$B$14))*INDEX(TrackMap!$M$8:$M$141,MOD(INT(D620)-1,Control!$B$7)+1)*IF(E620="BOOST",Control!$B$12,1)))</x:f>
        <x:v>2.472278713494357</x:v>
      </x:c>
      <x:c r="G620" s="83" t="n">
        <x:f>IF(A620=0,D620,MIN(Control!$B$17,D620+F620))</x:f>
        <x:v>345.61583680707133</x:v>
      </x:c>
      <x:c r="H620" s="73" t="n">
        <x:f>MOD(INT(G620)-1,Control!$B$7)+1</x:f>
        <x:v>77</x:v>
      </x:c>
      <x:c r="I620" s="73" t="n">
        <x:f>MIN(Control!$B$6,MAX(1,INT(MAX(0,G620)/Control!$B$7)+1))</x:f>
        <x:v>3</x:v>
      </x:c>
      <x:c r="J620" s="73" t="n">
        <x:f>INDEX(Drivers!$H$8:$H$13,B620)</x:f>
        <x:v>1</x:v>
      </x:c>
      <x:c r="K620" s="73" t="n">
        <x:f>IF(J620=1,INDEX(TrackMap!$I$8:$I$141,H620),INDEX(TrackMap!$L$8:$L$141,H620))</x:f>
        <x:v>846</x:v>
      </x:c>
      <x:c r="L620" s="73" t="str">
        <x:f>INDEX(TrackMap!$F$8:$F$141,H620)</x:f>
        <x:v>→</x:v>
      </x:c>
      <x:c r="M620" s="87" t="n">
        <x:f>MAX(0,G620/Control!$B$17)</x:f>
        <x:v>0.5158445325478677</x:v>
      </x:c>
      <x:c r="N620" s="73" t="n">
        <x:f>IF(N614&gt;0,N614,IF(G620&gt;=Control!$B$17,A620,0))</x:f>
        <x:v>0</x:v>
      </x:c>
      <x:c r="O620" s="91" t="n">
        <x:f>IF(N620&gt;0,Control!$B$17+Control!$B$8+1-N620,G620)-B620/100000</x:f>
        <x:v>345.61582680707136</x:v>
      </x:c>
      <x:c r="P620" s="73" t="n">
        <x:f>COUNTIF($O$620:$O$625,"&gt;"&amp;O620)+1</x:f>
        <x:v>6</x:v>
      </x:c>
      <x:c r="Q620" s="83" t="n">
        <x:f>MAX($G$620:$G$625)-G620</x:f>
        <x:v>8.05251495156108</x:v>
      </x:c>
      <x:c r="R620" s="73" t="str">
        <x:f>INDEX(TrackMap!$B$8:$B$141,H620)</x:f>
        <x:v>东侧发卡弯</x:v>
      </x:c>
    </x:row>
    <x:row r="621" ht="20" customHeight="1">
      <x:c r="A621" s="73" t="n">
        <x:v>102</x:v>
      </x:c>
      <x:c r="B621" s="73" t="n">
        <x:v>2</x:v>
      </x:c>
      <x:c r="C621" s="73" t="str">
        <x:f>INDEX(Drivers!$B$8:$B$13,B621)</x:f>
        <x:v>蓝电</x:v>
      </x:c>
      <x:c r="D621" s="83" t="n">
        <x:f>G615</x:f>
        <x:v>345.4024873281917</x:v>
      </x:c>
      <x:c r="E621" s="83" t="str">
        <x:f>IF(A621=0,"GRID",IF(D621&gt;=Control!$B$17,"FINISHED",IF(AND(A621&gt;=INDEX(Drivers!$G$8:$G$13,B621),A621&lt;INDEX(Drivers!$G$8:$G$13,B621)+INDEX(Drivers!$J$8:$J$13,B621)),"PIT",IF(MOD(A621+INDEX(Drivers!$F$8:$F$13,B621),Control!$B$11)&lt;Control!$B$13,"BOOST","RACE"))))</x:f>
        <x:v>RACE</x:v>
      </x:c>
      <x:c r="F621" s="83" t="n">
        <x:f>IF(OR(E621="GRID",E621="FINISHED",E621="PIT"),0,MAX(Control!$B$15,(INDEX(Drivers!$D$8:$D$13,B621)+INDEX(Drivers!$E$8:$E$13,B621)*SIN((A621+INDEX(Drivers!$F$8:$F$13,B621)+Control!$B$16)*Control!$B$14))*INDEX(TrackMap!$M$8:$M$141,MOD(INT(D621)-1,Control!$B$7)+1)*IF(E621="BOOST",Control!$B$12,1)))</x:f>
        <x:v>3.2599655180671756</x:v>
      </x:c>
      <x:c r="G621" s="83" t="n">
        <x:f>IF(A621=0,D621,MIN(Control!$B$17,D621+F621))</x:f>
        <x:v>348.6624528462589</x:v>
      </x:c>
      <x:c r="H621" s="73" t="n">
        <x:f>MOD(INT(G621)-1,Control!$B$7)+1</x:f>
        <x:v>80</x:v>
      </x:c>
      <x:c r="I621" s="73" t="n">
        <x:f>MIN(Control!$B$6,MAX(1,INT(MAX(0,G621)/Control!$B$7)+1))</x:f>
        <x:v>3</x:v>
      </x:c>
      <x:c r="J621" s="73" t="n">
        <x:f>INDEX(Drivers!$H$8:$H$13,B621)</x:f>
        <x:v>2</x:v>
      </x:c>
      <x:c r="K621" s="73" t="n">
        <x:f>IF(J621=1,INDEX(TrackMap!$I$8:$I$141,H621),INDEX(TrackMap!$L$8:$L$141,H621))</x:f>
        <x:v>949</x:v>
      </x:c>
      <x:c r="L621" s="73" t="str">
        <x:f>INDEX(TrackMap!$F$8:$F$141,H621)</x:f>
        <x:v>→</x:v>
      </x:c>
      <x:c r="M621" s="87" t="n">
        <x:f>MAX(0,G621/Control!$B$17)</x:f>
        <x:v>0.520391720666058</x:v>
      </x:c>
      <x:c r="N621" s="73" t="n">
        <x:f>IF(N615&gt;0,N615,IF(G621&gt;=Control!$B$17,A621,0))</x:f>
        <x:v>0</x:v>
      </x:c>
      <x:c r="O621" s="91" t="n">
        <x:f>IF(N621&gt;0,Control!$B$17+Control!$B$8+1-N621,G621)-B621/100000</x:f>
        <x:v>348.66243284625887</x:v>
      </x:c>
      <x:c r="P621" s="73" t="n">
        <x:f>COUNTIF($O$620:$O$625,"&gt;"&amp;O621)+1</x:f>
        <x:v>5</x:v>
      </x:c>
      <x:c r="Q621" s="83" t="n">
        <x:f>MAX($G$620:$G$625)-G621</x:f>
        <x:v>5.005898912373539</x:v>
      </x:c>
      <x:c r="R621" s="73" t="str">
        <x:f>INDEX(TrackMap!$B$8:$B$141,H621)</x:f>
        <x:v>东侧发卡弯</x:v>
      </x:c>
    </x:row>
    <x:row r="622" ht="20" customHeight="1">
      <x:c r="A622" s="73" t="n">
        <x:v>102</x:v>
      </x:c>
      <x:c r="B622" s="73" t="n">
        <x:v>3</x:v>
      </x:c>
      <x:c r="C622" s="73" t="str">
        <x:f>INDEX(Drivers!$B$8:$B$13,B622)</x:f>
        <x:v>金翼</x:v>
      </x:c>
      <x:c r="D622" s="83" t="n">
        <x:f>G616</x:f>
        <x:v>351.1053982686138</x:v>
      </x:c>
      <x:c r="E622" s="83" t="str">
        <x:f>IF(A622=0,"GRID",IF(D622&gt;=Control!$B$17,"FINISHED",IF(AND(A622&gt;=INDEX(Drivers!$G$8:$G$13,B622),A622&lt;INDEX(Drivers!$G$8:$G$13,B622)+INDEX(Drivers!$J$8:$J$13,B622)),"PIT",IF(MOD(A622+INDEX(Drivers!$F$8:$F$13,B622),Control!$B$11)&lt;Control!$B$13,"BOOST","RACE"))))</x:f>
        <x:v>RACE</x:v>
      </x:c>
      <x:c r="F622" s="83" t="n">
        <x:f>IF(OR(E622="GRID",E622="FINISHED",E622="PIT"),0,MAX(Control!$B$15,(INDEX(Drivers!$D$8:$D$13,B622)+INDEX(Drivers!$E$8:$E$13,B622)*SIN((A622+INDEX(Drivers!$F$8:$F$13,B622)+Control!$B$16)*Control!$B$14))*INDEX(TrackMap!$M$8:$M$141,MOD(INT(D622)-1,Control!$B$7)+1)*IF(E622="BOOST",Control!$B$12,1)))</x:f>
        <x:v>2.5629534900186184</x:v>
      </x:c>
      <x:c r="G622" s="83" t="n">
        <x:f>IF(A622=0,D622,MIN(Control!$B$17,D622+F622))</x:f>
        <x:v>353.6683517586324</x:v>
      </x:c>
      <x:c r="H622" s="73" t="n">
        <x:f>MOD(INT(G622)-1,Control!$B$7)+1</x:f>
        <x:v>85</x:v>
      </x:c>
      <x:c r="I622" s="73" t="n">
        <x:f>MIN(Control!$B$6,MAX(1,INT(MAX(0,G622)/Control!$B$7)+1))</x:f>
        <x:v>3</x:v>
      </x:c>
      <x:c r="J622" s="73" t="n">
        <x:f>INDEX(Drivers!$H$8:$H$13,B622)</x:f>
        <x:v>1</x:v>
      </x:c>
      <x:c r="K622" s="73" t="n">
        <x:f>IF(J622=1,INDEX(TrackMap!$I$8:$I$141,H622),INDEX(TrackMap!$L$8:$L$141,H622))</x:f>
        <x:v>1452</x:v>
      </x:c>
      <x:c r="L622" s="73" t="str">
        <x:f>INDEX(TrackMap!$F$8:$F$141,H622)</x:f>
        <x:v>↓</x:v>
      </x:c>
      <x:c r="M622" s="87" t="n">
        <x:f>MAX(0,G622/Control!$B$17)</x:f>
        <x:v>0.5278632115800483</x:v>
      </x:c>
      <x:c r="N622" s="73" t="n">
        <x:f>IF(N616&gt;0,N616,IF(G622&gt;=Control!$B$17,A622,0))</x:f>
        <x:v>0</x:v>
      </x:c>
      <x:c r="O622" s="91" t="n">
        <x:f>IF(N622&gt;0,Control!$B$17+Control!$B$8+1-N622,G622)-B622/100000</x:f>
        <x:v>353.66832175863243</x:v>
      </x:c>
      <x:c r="P622" s="73" t="n">
        <x:f>COUNTIF($O$620:$O$625,"&gt;"&amp;O622)+1</x:f>
        <x:v>1</x:v>
      </x:c>
      <x:c r="Q622" s="83" t="n">
        <x:f>MAX($G$620:$G$625)-G622</x:f>
        <x:v>0</x:v>
      </x:c>
      <x:c r="R622" s="73" t="str">
        <x:f>INDEX(TrackMap!$B$8:$B$141,H622)</x:f>
        <x:v>东侧长直道</x:v>
      </x:c>
    </x:row>
    <x:row r="623" ht="20" customHeight="1">
      <x:c r="A623" s="73" t="n">
        <x:v>102</x:v>
      </x:c>
      <x:c r="B623" s="73" t="n">
        <x:v>4</x:v>
      </x:c>
      <x:c r="C623" s="73" t="str">
        <x:f>INDEX(Drivers!$B$8:$B$13,B623)</x:f>
        <x:v>紫影</x:v>
      </x:c>
      <x:c r="D623" s="83" t="n">
        <x:f>G617</x:f>
        <x:v>345.5990990892029</x:v>
      </x:c>
      <x:c r="E623" s="83" t="str">
        <x:f>IF(A623=0,"GRID",IF(D623&gt;=Control!$B$17,"FINISHED",IF(AND(A623&gt;=INDEX(Drivers!$G$8:$G$13,B623),A623&lt;INDEX(Drivers!$G$8:$G$13,B623)+INDEX(Drivers!$J$8:$J$13,B623)),"PIT",IF(MOD(A623+INDEX(Drivers!$F$8:$F$13,B623),Control!$B$11)&lt;Control!$B$13,"BOOST","RACE"))))</x:f>
        <x:v>BOOST</x:v>
      </x:c>
      <x:c r="F623" s="83" t="n">
        <x:f>IF(OR(E623="GRID",E623="FINISHED",E623="PIT"),0,MAX(Control!$B$15,(INDEX(Drivers!$D$8:$D$13,B623)+INDEX(Drivers!$E$8:$E$13,B623)*SIN((A623+INDEX(Drivers!$F$8:$F$13,B623)+Control!$B$16)*Control!$B$14))*INDEX(TrackMap!$M$8:$M$141,MOD(INT(D623)-1,Control!$B$7)+1)*IF(E623="BOOST",Control!$B$12,1)))</x:f>
        <x:v>4.042352321865938</x:v>
      </x:c>
      <x:c r="G623" s="83" t="n">
        <x:f>IF(A623=0,D623,MIN(Control!$B$17,D623+F623))</x:f>
        <x:v>349.6414514110689</x:v>
      </x:c>
      <x:c r="H623" s="73" t="n">
        <x:f>MOD(INT(G623)-1,Control!$B$7)+1</x:f>
        <x:v>81</x:v>
      </x:c>
      <x:c r="I623" s="73" t="n">
        <x:f>MIN(Control!$B$6,MAX(1,INT(MAX(0,G623)/Control!$B$7)+1))</x:f>
        <x:v>3</x:v>
      </x:c>
      <x:c r="J623" s="73" t="n">
        <x:f>INDEX(Drivers!$H$8:$H$13,B623)</x:f>
        <x:v>2</x:v>
      </x:c>
      <x:c r="K623" s="73" t="n">
        <x:f>IF(J623=1,INDEX(TrackMap!$I$8:$I$141,H623),INDEX(TrackMap!$L$8:$L$141,H623))</x:f>
        <x:v>1050</x:v>
      </x:c>
      <x:c r="L623" s="73" t="str">
        <x:f>INDEX(TrackMap!$F$8:$F$141,H623)</x:f>
        <x:v>↓</x:v>
      </x:c>
      <x:c r="M623" s="87" t="n">
        <x:f>MAX(0,G623/Control!$B$17)</x:f>
        <x:v>0.5218529125538341</x:v>
      </x:c>
      <x:c r="N623" s="73" t="n">
        <x:f>IF(N617&gt;0,N617,IF(G623&gt;=Control!$B$17,A623,0))</x:f>
        <x:v>0</x:v>
      </x:c>
      <x:c r="O623" s="91" t="n">
        <x:f>IF(N623&gt;0,Control!$B$17+Control!$B$8+1-N623,G623)-B623/100000</x:f>
        <x:v>349.6414114110689</x:v>
      </x:c>
      <x:c r="P623" s="73" t="n">
        <x:f>COUNTIF($O$620:$O$625,"&gt;"&amp;O623)+1</x:f>
        <x:v>3</x:v>
      </x:c>
      <x:c r="Q623" s="83" t="n">
        <x:f>MAX($G$620:$G$625)-G623</x:f>
        <x:v>4.026900347563526</x:v>
      </x:c>
      <x:c r="R623" s="73" t="str">
        <x:f>INDEX(TrackMap!$B$8:$B$141,H623)</x:f>
        <x:v>东侧发卡弯</x:v>
      </x:c>
    </x:row>
    <x:row r="624" ht="20" customHeight="1">
      <x:c r="A624" s="73" t="n">
        <x:v>102</x:v>
      </x:c>
      <x:c r="B624" s="73" t="n">
        <x:v>5</x:v>
      </x:c>
      <x:c r="C624" s="73" t="str">
        <x:f>INDEX(Drivers!$B$8:$B$13,B624)</x:f>
        <x:v>青锋</x:v>
      </x:c>
      <x:c r="D624" s="83" t="n">
        <x:f>G618</x:f>
        <x:v>346.5447386440306</x:v>
      </x:c>
      <x:c r="E624" s="83" t="str">
        <x:f>IF(A624=0,"GRID",IF(D624&gt;=Control!$B$17,"FINISHED",IF(AND(A624&gt;=INDEX(Drivers!$G$8:$G$13,B624),A624&lt;INDEX(Drivers!$G$8:$G$13,B624)+INDEX(Drivers!$J$8:$J$13,B624)),"PIT",IF(MOD(A624+INDEX(Drivers!$F$8:$F$13,B624),Control!$B$11)&lt;Control!$B$13,"BOOST","RACE"))))</x:f>
        <x:v>RACE</x:v>
      </x:c>
      <x:c r="F624" s="83" t="n">
        <x:f>IF(OR(E624="GRID",E624="FINISHED",E624="PIT"),0,MAX(Control!$B$15,(INDEX(Drivers!$D$8:$D$13,B624)+INDEX(Drivers!$E$8:$E$13,B624)*SIN((A624+INDEX(Drivers!$F$8:$F$13,B624)+Control!$B$16)*Control!$B$14))*INDEX(TrackMap!$M$8:$M$141,MOD(INT(D624)-1,Control!$B$7)+1)*IF(E624="BOOST",Control!$B$12,1)))</x:f>
        <x:v>2.995936457130844</x:v>
      </x:c>
      <x:c r="G624" s="83" t="n">
        <x:f>IF(A624=0,D624,MIN(Control!$B$17,D624+F624))</x:f>
        <x:v>349.5406751011614</x:v>
      </x:c>
      <x:c r="H624" s="73" t="n">
        <x:f>MOD(INT(G624)-1,Control!$B$7)+1</x:f>
        <x:v>81</x:v>
      </x:c>
      <x:c r="I624" s="73" t="n">
        <x:f>MIN(Control!$B$6,MAX(1,INT(MAX(0,G624)/Control!$B$7)+1))</x:f>
        <x:v>3</x:v>
      </x:c>
      <x:c r="J624" s="73" t="n">
        <x:f>INDEX(Drivers!$H$8:$H$13,B624)</x:f>
        <x:v>1</x:v>
      </x:c>
      <x:c r="K624" s="73" t="n">
        <x:f>IF(J624=1,INDEX(TrackMap!$I$8:$I$141,H624),INDEX(TrackMap!$L$8:$L$141,H624))</x:f>
        <x:v>1051</x:v>
      </x:c>
      <x:c r="L624" s="73" t="str">
        <x:f>INDEX(TrackMap!$F$8:$F$141,H624)</x:f>
        <x:v>↓</x:v>
      </x:c>
      <x:c r="M624" s="87" t="n">
        <x:f>MAX(0,G624/Control!$B$17)</x:f>
        <x:v>0.5217025001509872</x:v>
      </x:c>
      <x:c r="N624" s="73" t="n">
        <x:f>IF(N618&gt;0,N618,IF(G624&gt;=Control!$B$17,A624,0))</x:f>
        <x:v>0</x:v>
      </x:c>
      <x:c r="O624" s="91" t="n">
        <x:f>IF(N624&gt;0,Control!$B$17+Control!$B$8+1-N624,G624)-B624/100000</x:f>
        <x:v>349.5406251011614</x:v>
      </x:c>
      <x:c r="P624" s="73" t="n">
        <x:f>COUNTIF($O$620:$O$625,"&gt;"&amp;O624)+1</x:f>
        <x:v>4</x:v>
      </x:c>
      <x:c r="Q624" s="83" t="n">
        <x:f>MAX($G$620:$G$625)-G624</x:f>
        <x:v>4.1276766574709995</x:v>
      </x:c>
      <x:c r="R624" s="73" t="str">
        <x:f>INDEX(TrackMap!$B$8:$B$141,H624)</x:f>
        <x:v>东侧发卡弯</x:v>
      </x:c>
    </x:row>
    <x:row r="625" ht="20" customHeight="1">
      <x:c r="A625" s="73" t="n">
        <x:v>102</x:v>
      </x:c>
      <x:c r="B625" s="73" t="n">
        <x:v>6</x:v>
      </x:c>
      <x:c r="C625" s="73" t="str">
        <x:f>INDEX(Drivers!$B$8:$B$13,B625)</x:f>
        <x:v>玫速</x:v>
      </x:c>
      <x:c r="D625" s="83" t="n">
        <x:f>G619</x:f>
        <x:v>348.4238766894782</x:v>
      </x:c>
      <x:c r="E625" s="83" t="str">
        <x:f>IF(A625=0,"GRID",IF(D625&gt;=Control!$B$17,"FINISHED",IF(AND(A625&gt;=INDEX(Drivers!$G$8:$G$13,B625),A625&lt;INDEX(Drivers!$G$8:$G$13,B625)+INDEX(Drivers!$J$8:$J$13,B625)),"PIT",IF(MOD(A625+INDEX(Drivers!$F$8:$F$13,B625),Control!$B$11)&lt;Control!$B$13,"BOOST","RACE"))))</x:f>
        <x:v>RACE</x:v>
      </x:c>
      <x:c r="F625" s="83" t="n">
        <x:f>IF(OR(E625="GRID",E625="FINISHED",E625="PIT"),0,MAX(Control!$B$15,(INDEX(Drivers!$D$8:$D$13,B625)+INDEX(Drivers!$E$8:$E$13,B625)*SIN((A625+INDEX(Drivers!$F$8:$F$13,B625)+Control!$B$16)*Control!$B$14))*INDEX(TrackMap!$M$8:$M$141,MOD(INT(D625)-1,Control!$B$7)+1)*IF(E625="BOOST",Control!$B$12,1)))</x:f>
        <x:v>2.9328733824516355</x:v>
      </x:c>
      <x:c r="G625" s="83" t="n">
        <x:f>IF(A625=0,D625,MIN(Control!$B$17,D625+F625))</x:f>
        <x:v>351.35675007192987</x:v>
      </x:c>
      <x:c r="H625" s="73" t="n">
        <x:f>MOD(INT(G625)-1,Control!$B$7)+1</x:f>
        <x:v>83</x:v>
      </x:c>
      <x:c r="I625" s="73" t="n">
        <x:f>MIN(Control!$B$6,MAX(1,INT(MAX(0,G625)/Control!$B$7)+1))</x:f>
        <x:v>3</x:v>
      </x:c>
      <x:c r="J625" s="73" t="n">
        <x:f>INDEX(Drivers!$H$8:$H$13,B625)</x:f>
        <x:v>2</x:v>
      </x:c>
      <x:c r="K625" s="73" t="n">
        <x:f>IF(J625=1,INDEX(TrackMap!$I$8:$I$141,H625),INDEX(TrackMap!$L$8:$L$141,H625))</x:f>
        <x:v>1251</x:v>
      </x:c>
      <x:c r="L625" s="73" t="str">
        <x:f>INDEX(TrackMap!$F$8:$F$141,H625)</x:f>
        <x:v>↓</x:v>
      </x:c>
      <x:c r="M625" s="87" t="n">
        <x:f>MAX(0,G625/Control!$B$17)</x:f>
        <x:v>0.5244130598088506</x:v>
      </x:c>
      <x:c r="N625" s="73" t="n">
        <x:f>IF(N619&gt;0,N619,IF(G625&gt;=Control!$B$17,A625,0))</x:f>
        <x:v>0</x:v>
      </x:c>
      <x:c r="O625" s="91" t="n">
        <x:f>IF(N625&gt;0,Control!$B$17+Control!$B$8+1-N625,G625)-B625/100000</x:f>
        <x:v>351.35669007192985</x:v>
      </x:c>
      <x:c r="P625" s="73" t="n">
        <x:f>COUNTIF($O$620:$O$625,"&gt;"&amp;O625)+1</x:f>
        <x:v>2</x:v>
      </x:c>
      <x:c r="Q625" s="83" t="n">
        <x:f>MAX($G$620:$G$625)-G625</x:f>
        <x:v>2.311601686702545</x:v>
      </x:c>
      <x:c r="R625" s="73" t="str">
        <x:f>INDEX(TrackMap!$B$8:$B$141,H625)</x:f>
        <x:v>东侧长直道</x:v>
      </x:c>
    </x:row>
    <x:row r="626" ht="20" customHeight="1">
      <x:c r="A626" s="73" t="n">
        <x:v>103</x:v>
      </x:c>
      <x:c r="B626" s="73" t="n">
        <x:v>1</x:v>
      </x:c>
      <x:c r="C626" s="73" t="str">
        <x:f>INDEX(Drivers!$B$8:$B$13,B626)</x:f>
        <x:v>赤焰</x:v>
      </x:c>
      <x:c r="D626" s="83" t="n">
        <x:f>G620</x:f>
        <x:v>345.61583680707133</x:v>
      </x:c>
      <x:c r="E626" s="83" t="str">
        <x:f>IF(A626=0,"GRID",IF(D626&gt;=Control!$B$17,"FINISHED",IF(AND(A626&gt;=INDEX(Drivers!$G$8:$G$13,B626),A626&lt;INDEX(Drivers!$G$8:$G$13,B626)+INDEX(Drivers!$J$8:$J$13,B626)),"PIT",IF(MOD(A626+INDEX(Drivers!$F$8:$F$13,B626),Control!$B$11)&lt;Control!$B$13,"BOOST","RACE"))))</x:f>
        <x:v>RACE</x:v>
      </x:c>
      <x:c r="F626" s="83" t="n">
        <x:f>IF(OR(E626="GRID",E626="FINISHED",E626="PIT"),0,MAX(Control!$B$15,(INDEX(Drivers!$D$8:$D$13,B626)+INDEX(Drivers!$E$8:$E$13,B626)*SIN((A626+INDEX(Drivers!$F$8:$F$13,B626)+Control!$B$16)*Control!$B$14))*INDEX(TrackMap!$M$8:$M$141,MOD(INT(D626)-1,Control!$B$7)+1)*IF(E626="BOOST",Control!$B$12,1)))</x:f>
        <x:v>2.573166224423972</x:v>
      </x:c>
      <x:c r="G626" s="83" t="n">
        <x:f>IF(A626=0,D626,MIN(Control!$B$17,D626+F626))</x:f>
        <x:v>348.1890030314953</x:v>
      </x:c>
      <x:c r="H626" s="73" t="n">
        <x:f>MOD(INT(G626)-1,Control!$B$7)+1</x:f>
        <x:v>80</x:v>
      </x:c>
      <x:c r="I626" s="73" t="n">
        <x:f>MIN(Control!$B$6,MAX(1,INT(MAX(0,G626)/Control!$B$7)+1))</x:f>
        <x:v>3</x:v>
      </x:c>
      <x:c r="J626" s="73" t="n">
        <x:f>INDEX(Drivers!$H$8:$H$13,B626)</x:f>
        <x:v>1</x:v>
      </x:c>
      <x:c r="K626" s="73" t="n">
        <x:f>IF(J626=1,INDEX(TrackMap!$I$8:$I$141,H626),INDEX(TrackMap!$L$8:$L$141,H626))</x:f>
        <x:v>849</x:v>
      </x:c>
      <x:c r="L626" s="73" t="str">
        <x:f>INDEX(TrackMap!$F$8:$F$141,H626)</x:f>
        <x:v>→</x:v>
      </x:c>
      <x:c r="M626" s="87" t="n">
        <x:f>MAX(0,G626/Control!$B$17)</x:f>
        <x:v>0.5196850791514855</x:v>
      </x:c>
      <x:c r="N626" s="73" t="n">
        <x:f>IF(N620&gt;0,N620,IF(G626&gt;=Control!$B$17,A626,0))</x:f>
        <x:v>0</x:v>
      </x:c>
      <x:c r="O626" s="91" t="n">
        <x:f>IF(N626&gt;0,Control!$B$17+Control!$B$8+1-N626,G626)-B626/100000</x:f>
        <x:v>348.18899303149533</x:v>
      </x:c>
      <x:c r="P626" s="73" t="n">
        <x:f>COUNTIF($O$626:$O$631,"&gt;"&amp;O626)+1</x:f>
        <x:v>6</x:v>
      </x:c>
      <x:c r="Q626" s="83" t="n">
        <x:f>MAX($G$626:$G$631)-G626</x:f>
        <x:v>8.69191668448559</x:v>
      </x:c>
      <x:c r="R626" s="73" t="str">
        <x:f>INDEX(TrackMap!$B$8:$B$141,H626)</x:f>
        <x:v>东侧发卡弯</x:v>
      </x:c>
    </x:row>
    <x:row r="627" ht="20" customHeight="1">
      <x:c r="A627" s="73" t="n">
        <x:v>103</x:v>
      </x:c>
      <x:c r="B627" s="73" t="n">
        <x:v>2</x:v>
      </x:c>
      <x:c r="C627" s="73" t="str">
        <x:f>INDEX(Drivers!$B$8:$B$13,B627)</x:f>
        <x:v>蓝电</x:v>
      </x:c>
      <x:c r="D627" s="83" t="n">
        <x:f>G621</x:f>
        <x:v>348.6624528462589</x:v>
      </x:c>
      <x:c r="E627" s="83" t="str">
        <x:f>IF(A627=0,"GRID",IF(D627&gt;=Control!$B$17,"FINISHED",IF(AND(A627&gt;=INDEX(Drivers!$G$8:$G$13,B627),A627&lt;INDEX(Drivers!$G$8:$G$13,B627)+INDEX(Drivers!$J$8:$J$13,B627)),"PIT",IF(MOD(A627+INDEX(Drivers!$F$8:$F$13,B627),Control!$B$11)&lt;Control!$B$13,"BOOST","RACE"))))</x:f>
        <x:v>RACE</x:v>
      </x:c>
      <x:c r="F627" s="83" t="n">
        <x:f>IF(OR(E627="GRID",E627="FINISHED",E627="PIT"),0,MAX(Control!$B$15,(INDEX(Drivers!$D$8:$D$13,B627)+INDEX(Drivers!$E$8:$E$13,B627)*SIN((A627+INDEX(Drivers!$F$8:$F$13,B627)+Control!$B$16)*Control!$B$14))*INDEX(TrackMap!$M$8:$M$141,MOD(INT(D627)-1,Control!$B$7)+1)*IF(E627="BOOST",Control!$B$12,1)))</x:f>
        <x:v>3.2356148299715155</x:v>
      </x:c>
      <x:c r="G627" s="83" t="n">
        <x:f>IF(A627=0,D627,MIN(Control!$B$17,D627+F627))</x:f>
        <x:v>351.89806767623037</x:v>
      </x:c>
      <x:c r="H627" s="73" t="n">
        <x:f>MOD(INT(G627)-1,Control!$B$7)+1</x:f>
        <x:v>83</x:v>
      </x:c>
      <x:c r="I627" s="73" t="n">
        <x:f>MIN(Control!$B$6,MAX(1,INT(MAX(0,G627)/Control!$B$7)+1))</x:f>
        <x:v>3</x:v>
      </x:c>
      <x:c r="J627" s="73" t="n">
        <x:f>INDEX(Drivers!$H$8:$H$13,B627)</x:f>
        <x:v>2</x:v>
      </x:c>
      <x:c r="K627" s="73" t="n">
        <x:f>IF(J627=1,INDEX(TrackMap!$I$8:$I$141,H627),INDEX(TrackMap!$L$8:$L$141,H627))</x:f>
        <x:v>1251</x:v>
      </x:c>
      <x:c r="L627" s="73" t="str">
        <x:f>INDEX(TrackMap!$F$8:$F$141,H627)</x:f>
        <x:v>↓</x:v>
      </x:c>
      <x:c r="M627" s="87" t="n">
        <x:f>MAX(0,G627/Control!$B$17)</x:f>
        <x:v>0.5252209965316871</x:v>
      </x:c>
      <x:c r="N627" s="73" t="n">
        <x:f>IF(N621&gt;0,N621,IF(G627&gt;=Control!$B$17,A627,0))</x:f>
        <x:v>0</x:v>
      </x:c>
      <x:c r="O627" s="91" t="n">
        <x:f>IF(N627&gt;0,Control!$B$17+Control!$B$8+1-N627,G627)-B627/100000</x:f>
        <x:v>351.89804767623036</x:v>
      </x:c>
      <x:c r="P627" s="73" t="n">
        <x:f>COUNTIF($O$626:$O$631,"&gt;"&amp;O627)+1</x:f>
        <x:v>5</x:v>
      </x:c>
      <x:c r="Q627" s="83" t="n">
        <x:f>MAX($G$626:$G$631)-G627</x:f>
        <x:v>4.982852039750526</x:v>
      </x:c>
      <x:c r="R627" s="73" t="str">
        <x:f>INDEX(TrackMap!$B$8:$B$141,H627)</x:f>
        <x:v>东侧长直道</x:v>
      </x:c>
    </x:row>
    <x:row r="628" ht="20" customHeight="1">
      <x:c r="A628" s="73" t="n">
        <x:v>103</x:v>
      </x:c>
      <x:c r="B628" s="73" t="n">
        <x:v>3</x:v>
      </x:c>
      <x:c r="C628" s="73" t="str">
        <x:f>INDEX(Drivers!$B$8:$B$13,B628)</x:f>
        <x:v>金翼</x:v>
      </x:c>
      <x:c r="D628" s="83" t="n">
        <x:f>G622</x:f>
        <x:v>353.6683517586324</x:v>
      </x:c>
      <x:c r="E628" s="83" t="str">
        <x:f>IF(A628=0,"GRID",IF(D628&gt;=Control!$B$17,"FINISHED",IF(AND(A628&gt;=INDEX(Drivers!$G$8:$G$13,B628),A628&lt;INDEX(Drivers!$G$8:$G$13,B628)+INDEX(Drivers!$J$8:$J$13,B628)),"PIT",IF(MOD(A628+INDEX(Drivers!$F$8:$F$13,B628),Control!$B$11)&lt;Control!$B$13,"BOOST","RACE"))))</x:f>
        <x:v>RACE</x:v>
      </x:c>
      <x:c r="F628" s="83" t="n">
        <x:f>IF(OR(E628="GRID",E628="FINISHED",E628="PIT"),0,MAX(Control!$B$15,(INDEX(Drivers!$D$8:$D$13,B628)+INDEX(Drivers!$E$8:$E$13,B628)*SIN((A628+INDEX(Drivers!$F$8:$F$13,B628)+Control!$B$16)*Control!$B$14))*INDEX(TrackMap!$M$8:$M$141,MOD(INT(D628)-1,Control!$B$7)+1)*IF(E628="BOOST",Control!$B$12,1)))</x:f>
        <x:v>3.2125679573484667</x:v>
      </x:c>
      <x:c r="G628" s="83" t="n">
        <x:f>IF(A628=0,D628,MIN(Control!$B$17,D628+F628))</x:f>
        <x:v>356.8809197159809</x:v>
      </x:c>
      <x:c r="H628" s="73" t="n">
        <x:f>MOD(INT(G628)-1,Control!$B$7)+1</x:f>
        <x:v>88</x:v>
      </x:c>
      <x:c r="I628" s="73" t="n">
        <x:f>MIN(Control!$B$6,MAX(1,INT(MAX(0,G628)/Control!$B$7)+1))</x:f>
        <x:v>3</x:v>
      </x:c>
      <x:c r="J628" s="73" t="n">
        <x:f>INDEX(Drivers!$H$8:$H$13,B628)</x:f>
        <x:v>1</x:v>
      </x:c>
      <x:c r="K628" s="73" t="n">
        <x:f>IF(J628=1,INDEX(TrackMap!$I$8:$I$141,H628),INDEX(TrackMap!$L$8:$L$141,H628))</x:f>
        <x:v>1752</x:v>
      </x:c>
      <x:c r="L628" s="73" t="str">
        <x:f>INDEX(TrackMap!$F$8:$F$141,H628)</x:f>
        <x:v>↓</x:v>
      </x:c>
      <x:c r="M628" s="87" t="n">
        <x:f>MAX(0,G628/Control!$B$17)</x:f>
        <x:v>0.5326580891283297</x:v>
      </x:c>
      <x:c r="N628" s="73" t="n">
        <x:f>IF(N622&gt;0,N622,IF(G628&gt;=Control!$B$17,A628,0))</x:f>
        <x:v>0</x:v>
      </x:c>
      <x:c r="O628" s="91" t="n">
        <x:f>IF(N628&gt;0,Control!$B$17+Control!$B$8+1-N628,G628)-B628/100000</x:f>
        <x:v>356.8808897159809</x:v>
      </x:c>
      <x:c r="P628" s="73" t="n">
        <x:f>COUNTIF($O$626:$O$631,"&gt;"&amp;O628)+1</x:f>
        <x:v>1</x:v>
      </x:c>
      <x:c r="Q628" s="83" t="n">
        <x:f>MAX($G$626:$G$631)-G628</x:f>
        <x:v>0</x:v>
      </x:c>
      <x:c r="R628" s="73" t="str">
        <x:f>INDEX(TrackMap!$B$8:$B$141,H628)</x:f>
        <x:v>东侧长直道</x:v>
      </x:c>
    </x:row>
    <x:row r="629" ht="20" customHeight="1">
      <x:c r="A629" s="73" t="n">
        <x:v>103</x:v>
      </x:c>
      <x:c r="B629" s="73" t="n">
        <x:v>4</x:v>
      </x:c>
      <x:c r="C629" s="73" t="str">
        <x:f>INDEX(Drivers!$B$8:$B$13,B629)</x:f>
        <x:v>紫影</x:v>
      </x:c>
      <x:c r="D629" s="83" t="n">
        <x:f>G623</x:f>
        <x:v>349.6414514110689</x:v>
      </x:c>
      <x:c r="E629" s="83" t="str">
        <x:f>IF(A629=0,"GRID",IF(D629&gt;=Control!$B$17,"FINISHED",IF(AND(A629&gt;=INDEX(Drivers!$G$8:$G$13,B629),A629&lt;INDEX(Drivers!$G$8:$G$13,B629)+INDEX(Drivers!$J$8:$J$13,B629)),"PIT",IF(MOD(A629+INDEX(Drivers!$F$8:$F$13,B629),Control!$B$11)&lt;Control!$B$13,"BOOST","RACE"))))</x:f>
        <x:v>BOOST</x:v>
      </x:c>
      <x:c r="F629" s="83" t="n">
        <x:f>IF(OR(E629="GRID",E629="FINISHED",E629="PIT"),0,MAX(Control!$B$15,(INDEX(Drivers!$D$8:$D$13,B629)+INDEX(Drivers!$E$8:$E$13,B629)*SIN((A629+INDEX(Drivers!$F$8:$F$13,B629)+Control!$B$16)*Control!$B$14))*INDEX(TrackMap!$M$8:$M$141,MOD(INT(D629)-1,Control!$B$7)+1)*IF(E629="BOOST",Control!$B$12,1)))</x:f>
        <x:v>4.226578664198504</x:v>
      </x:c>
      <x:c r="G629" s="83" t="n">
        <x:f>IF(A629=0,D629,MIN(Control!$B$17,D629+F629))</x:f>
        <x:v>353.86803007526737</x:v>
      </x:c>
      <x:c r="H629" s="73" t="n">
        <x:f>MOD(INT(G629)-1,Control!$B$7)+1</x:f>
        <x:v>85</x:v>
      </x:c>
      <x:c r="I629" s="73" t="n">
        <x:f>MIN(Control!$B$6,MAX(1,INT(MAX(0,G629)/Control!$B$7)+1))</x:f>
        <x:v>3</x:v>
      </x:c>
      <x:c r="J629" s="73" t="n">
        <x:f>INDEX(Drivers!$H$8:$H$13,B629)</x:f>
        <x:v>2</x:v>
      </x:c>
      <x:c r="K629" s="73" t="n">
        <x:f>IF(J629=1,INDEX(TrackMap!$I$8:$I$141,H629),INDEX(TrackMap!$L$8:$L$141,H629))</x:f>
        <x:v>1451</x:v>
      </x:c>
      <x:c r="L629" s="73" t="str">
        <x:f>INDEX(TrackMap!$F$8:$F$141,H629)</x:f>
        <x:v>↓</x:v>
      </x:c>
      <x:c r="M629" s="87" t="n">
        <x:f>MAX(0,G629/Control!$B$17)</x:f>
        <x:v>0.5281612389183095</x:v>
      </x:c>
      <x:c r="N629" s="73" t="n">
        <x:f>IF(N623&gt;0,N623,IF(G629&gt;=Control!$B$17,A629,0))</x:f>
        <x:v>0</x:v>
      </x:c>
      <x:c r="O629" s="91" t="n">
        <x:f>IF(N629&gt;0,Control!$B$17+Control!$B$8+1-N629,G629)-B629/100000</x:f>
        <x:v>353.86799007526736</x:v>
      </x:c>
      <x:c r="P629" s="73" t="n">
        <x:f>COUNTIF($O$626:$O$631,"&gt;"&amp;O629)+1</x:f>
        <x:v>3</x:v>
      </x:c>
      <x:c r="Q629" s="83" t="n">
        <x:f>MAX($G$626:$G$631)-G629</x:f>
        <x:v>3.0128896407135244</x:v>
      </x:c>
      <x:c r="R629" s="73" t="str">
        <x:f>INDEX(TrackMap!$B$8:$B$141,H629)</x:f>
        <x:v>东侧长直道</x:v>
      </x:c>
    </x:row>
    <x:row r="630" ht="20" customHeight="1">
      <x:c r="A630" s="73" t="n">
        <x:v>103</x:v>
      </x:c>
      <x:c r="B630" s="73" t="n">
        <x:v>5</x:v>
      </x:c>
      <x:c r="C630" s="73" t="str">
        <x:f>INDEX(Drivers!$B$8:$B$13,B630)</x:f>
        <x:v>青锋</x:v>
      </x:c>
      <x:c r="D630" s="83" t="n">
        <x:f>G624</x:f>
        <x:v>349.5406751011614</x:v>
      </x:c>
      <x:c r="E630" s="83" t="str">
        <x:f>IF(A630=0,"GRID",IF(D630&gt;=Control!$B$17,"FINISHED",IF(AND(A630&gt;=INDEX(Drivers!$G$8:$G$13,B630),A630&lt;INDEX(Drivers!$G$8:$G$13,B630)+INDEX(Drivers!$J$8:$J$13,B630)),"PIT",IF(MOD(A630+INDEX(Drivers!$F$8:$F$13,B630),Control!$B$11)&lt;Control!$B$13,"BOOST","RACE"))))</x:f>
        <x:v>RACE</x:v>
      </x:c>
      <x:c r="F630" s="83" t="n">
        <x:f>IF(OR(E630="GRID",E630="FINISHED",E630="PIT"),0,MAX(Control!$B$15,(INDEX(Drivers!$D$8:$D$13,B630)+INDEX(Drivers!$E$8:$E$13,B630)*SIN((A630+INDEX(Drivers!$F$8:$F$13,B630)+Control!$B$16)*Control!$B$14))*INDEX(TrackMap!$M$8:$M$141,MOD(INT(D630)-1,Control!$B$7)+1)*IF(E630="BOOST",Control!$B$12,1)))</x:f>
        <x:v>3.1188627380070044</x:v>
      </x:c>
      <x:c r="G630" s="83" t="n">
        <x:f>IF(A630=0,D630,MIN(Control!$B$17,D630+F630))</x:f>
        <x:v>352.6595378391684</x:v>
      </x:c>
      <x:c r="H630" s="73" t="n">
        <x:f>MOD(INT(G630)-1,Control!$B$7)+1</x:f>
        <x:v>84</x:v>
      </x:c>
      <x:c r="I630" s="73" t="n">
        <x:f>MIN(Control!$B$6,MAX(1,INT(MAX(0,G630)/Control!$B$7)+1))</x:f>
        <x:v>3</x:v>
      </x:c>
      <x:c r="J630" s="73" t="n">
        <x:f>INDEX(Drivers!$H$8:$H$13,B630)</x:f>
        <x:v>1</x:v>
      </x:c>
      <x:c r="K630" s="73" t="n">
        <x:f>IF(J630=1,INDEX(TrackMap!$I$8:$I$141,H630),INDEX(TrackMap!$L$8:$L$141,H630))</x:f>
        <x:v>1352</x:v>
      </x:c>
      <x:c r="L630" s="73" t="str">
        <x:f>INDEX(TrackMap!$F$8:$F$141,H630)</x:f>
        <x:v>↓</x:v>
      </x:c>
      <x:c r="M630" s="87" t="n">
        <x:f>MAX(0,G630/Control!$B$17)</x:f>
        <x:v>0.5263575191629379</x:v>
      </x:c>
      <x:c r="N630" s="73" t="n">
        <x:f>IF(N624&gt;0,N624,IF(G630&gt;=Control!$B$17,A630,0))</x:f>
        <x:v>0</x:v>
      </x:c>
      <x:c r="O630" s="91" t="n">
        <x:f>IF(N630&gt;0,Control!$B$17+Control!$B$8+1-N630,G630)-B630/100000</x:f>
        <x:v>352.65948783916843</x:v>
      </x:c>
      <x:c r="P630" s="73" t="n">
        <x:f>COUNTIF($O$626:$O$631,"&gt;"&amp;O630)+1</x:f>
        <x:v>4</x:v>
      </x:c>
      <x:c r="Q630" s="83" t="n">
        <x:f>MAX($G$626:$G$631)-G630</x:f>
        <x:v>4.2213818768124725</x:v>
      </x:c>
      <x:c r="R630" s="73" t="str">
        <x:f>INDEX(TrackMap!$B$8:$B$141,H630)</x:f>
        <x:v>东侧长直道</x:v>
      </x:c>
    </x:row>
    <x:row r="631" ht="20" customHeight="1">
      <x:c r="A631" s="73" t="n">
        <x:v>103</x:v>
      </x:c>
      <x:c r="B631" s="73" t="n">
        <x:v>6</x:v>
      </x:c>
      <x:c r="C631" s="73" t="str">
        <x:f>INDEX(Drivers!$B$8:$B$13,B631)</x:f>
        <x:v>玫速</x:v>
      </x:c>
      <x:c r="D631" s="83" t="n">
        <x:f>G625</x:f>
        <x:v>351.35675007192987</x:v>
      </x:c>
      <x:c r="E631" s="83" t="str">
        <x:f>IF(A631=0,"GRID",IF(D631&gt;=Control!$B$17,"FINISHED",IF(AND(A631&gt;=INDEX(Drivers!$G$8:$G$13,B631),A631&lt;INDEX(Drivers!$G$8:$G$13,B631)+INDEX(Drivers!$J$8:$J$13,B631)),"PIT",IF(MOD(A631+INDEX(Drivers!$F$8:$F$13,B631),Control!$B$11)&lt;Control!$B$13,"BOOST","RACE"))))</x:f>
        <x:v>RACE</x:v>
      </x:c>
      <x:c r="F631" s="83" t="n">
        <x:f>IF(OR(E631="GRID",E631="FINISHED",E631="PIT"),0,MAX(Control!$B$15,(INDEX(Drivers!$D$8:$D$13,B631)+INDEX(Drivers!$E$8:$E$13,B631)*SIN((A631+INDEX(Drivers!$F$8:$F$13,B631)+Control!$B$16)*Control!$B$14))*INDEX(TrackMap!$M$8:$M$141,MOD(INT(D631)-1,Control!$B$7)+1)*IF(E631="BOOST",Control!$B$12,1)))</x:f>
        <x:v>2.7609242590124827</x:v>
      </x:c>
      <x:c r="G631" s="83" t="n">
        <x:f>IF(A631=0,D631,MIN(Control!$B$17,D631+F631))</x:f>
        <x:v>354.11767433094235</x:v>
      </x:c>
      <x:c r="H631" s="73" t="n">
        <x:f>MOD(INT(G631)-1,Control!$B$7)+1</x:f>
        <x:v>86</x:v>
      </x:c>
      <x:c r="I631" s="73" t="n">
        <x:f>MIN(Control!$B$6,MAX(1,INT(MAX(0,G631)/Control!$B$7)+1))</x:f>
        <x:v>3</x:v>
      </x:c>
      <x:c r="J631" s="73" t="n">
        <x:f>INDEX(Drivers!$H$8:$H$13,B631)</x:f>
        <x:v>2</x:v>
      </x:c>
      <x:c r="K631" s="73" t="n">
        <x:f>IF(J631=1,INDEX(TrackMap!$I$8:$I$141,H631),INDEX(TrackMap!$L$8:$L$141,H631))</x:f>
        <x:v>1551</x:v>
      </x:c>
      <x:c r="L631" s="73" t="str">
        <x:f>INDEX(TrackMap!$F$8:$F$141,H631)</x:f>
        <x:v>↓</x:v>
      </x:c>
      <x:c r="M631" s="87" t="n">
        <x:f>MAX(0,G631/Control!$B$17)</x:f>
        <x:v>0.5285338422849886</x:v>
      </x:c>
      <x:c r="N631" s="73" t="n">
        <x:f>IF(N625&gt;0,N625,IF(G631&gt;=Control!$B$17,A631,0))</x:f>
        <x:v>0</x:v>
      </x:c>
      <x:c r="O631" s="91" t="n">
        <x:f>IF(N631&gt;0,Control!$B$17+Control!$B$8+1-N631,G631)-B631/100000</x:f>
        <x:v>354.11761433094233</x:v>
      </x:c>
      <x:c r="P631" s="73" t="n">
        <x:f>COUNTIF($O$626:$O$631,"&gt;"&amp;O631)+1</x:f>
        <x:v>2</x:v>
      </x:c>
      <x:c r="Q631" s="83" t="n">
        <x:f>MAX($G$626:$G$631)-G631</x:f>
        <x:v>2.7632453850385446</x:v>
      </x:c>
      <x:c r="R631" s="73" t="str">
        <x:f>INDEX(TrackMap!$B$8:$B$141,H631)</x:f>
        <x:v>东侧长直道</x:v>
      </x:c>
    </x:row>
    <x:row r="632" ht="20" customHeight="1">
      <x:c r="A632" s="73" t="n">
        <x:v>104</x:v>
      </x:c>
      <x:c r="B632" s="73" t="n">
        <x:v>1</x:v>
      </x:c>
      <x:c r="C632" s="73" t="str">
        <x:f>INDEX(Drivers!$B$8:$B$13,B632)</x:f>
        <x:v>赤焰</x:v>
      </x:c>
      <x:c r="D632" s="83" t="n">
        <x:f>G626</x:f>
        <x:v>348.1890030314953</x:v>
      </x:c>
      <x:c r="E632" s="83" t="str">
        <x:f>IF(A632=0,"GRID",IF(D632&gt;=Control!$B$17,"FINISHED",IF(AND(A632&gt;=INDEX(Drivers!$G$8:$G$13,B632),A632&lt;INDEX(Drivers!$G$8:$G$13,B632)+INDEX(Drivers!$J$8:$J$13,B632)),"PIT",IF(MOD(A632+INDEX(Drivers!$F$8:$F$13,B632),Control!$B$11)&lt;Control!$B$13,"BOOST","RACE"))))</x:f>
        <x:v>RACE</x:v>
      </x:c>
      <x:c r="F632" s="83" t="n">
        <x:f>IF(OR(E632="GRID",E632="FINISHED",E632="PIT"),0,MAX(Control!$B$15,(INDEX(Drivers!$D$8:$D$13,B632)+INDEX(Drivers!$E$8:$E$13,B632)*SIN((A632+INDEX(Drivers!$F$8:$F$13,B632)+Control!$B$16)*Control!$B$14))*INDEX(TrackMap!$M$8:$M$141,MOD(INT(D632)-1,Control!$B$7)+1)*IF(E632="BOOST",Control!$B$12,1)))</x:f>
        <x:v>2.711115852265489</x:v>
      </x:c>
      <x:c r="G632" s="83" t="n">
        <x:f>IF(A632=0,D632,MIN(Control!$B$17,D632+F632))</x:f>
        <x:v>350.9001188837608</x:v>
      </x:c>
      <x:c r="H632" s="73" t="n">
        <x:f>MOD(INT(G632)-1,Control!$B$7)+1</x:f>
        <x:v>82</x:v>
      </x:c>
      <x:c r="I632" s="73" t="n">
        <x:f>MIN(Control!$B$6,MAX(1,INT(MAX(0,G632)/Control!$B$7)+1))</x:f>
        <x:v>3</x:v>
      </x:c>
      <x:c r="J632" s="73" t="n">
        <x:f>INDEX(Drivers!$H$8:$H$13,B632)</x:f>
        <x:v>1</x:v>
      </x:c>
      <x:c r="K632" s="73" t="n">
        <x:f>IF(J632=1,INDEX(TrackMap!$I$8:$I$141,H632),INDEX(TrackMap!$L$8:$L$141,H632))</x:f>
        <x:v>1152</x:v>
      </x:c>
      <x:c r="L632" s="73" t="str">
        <x:f>INDEX(TrackMap!$F$8:$F$141,H632)</x:f>
        <x:v>↓</x:v>
      </x:c>
      <x:c r="M632" s="87" t="n">
        <x:f>MAX(0,G632/Control!$B$17)</x:f>
        <x:v>0.523731520722031</x:v>
      </x:c>
      <x:c r="N632" s="73" t="n">
        <x:f>IF(N626&gt;0,N626,IF(G632&gt;=Control!$B$17,A632,0))</x:f>
        <x:v>0</x:v>
      </x:c>
      <x:c r="O632" s="91" t="n">
        <x:f>IF(N632&gt;0,Control!$B$17+Control!$B$8+1-N632,G632)-B632/100000</x:f>
        <x:v>350.9001088837608</x:v>
      </x:c>
      <x:c r="P632" s="73" t="n">
        <x:f>COUNTIF($O$632:$O$637,"&gt;"&amp;O632)+1</x:f>
        <x:v>6</x:v>
      </x:c>
      <x:c r="Q632" s="83" t="n">
        <x:f>MAX($G$632:$G$637)-G632</x:f>
        <x:v>9.186070579526643</x:v>
      </x:c>
      <x:c r="R632" s="73" t="str">
        <x:f>INDEX(TrackMap!$B$8:$B$141,H632)</x:f>
        <x:v>东侧长直道</x:v>
      </x:c>
    </x:row>
    <x:row r="633" ht="20" customHeight="1">
      <x:c r="A633" s="73" t="n">
        <x:v>104</x:v>
      </x:c>
      <x:c r="B633" s="73" t="n">
        <x:v>2</x:v>
      </x:c>
      <x:c r="C633" s="73" t="str">
        <x:f>INDEX(Drivers!$B$8:$B$13,B633)</x:f>
        <x:v>蓝电</x:v>
      </x:c>
      <x:c r="D633" s="83" t="n">
        <x:f>G627</x:f>
        <x:v>351.89806767623037</x:v>
      </x:c>
      <x:c r="E633" s="83" t="str">
        <x:f>IF(A633=0,"GRID",IF(D633&gt;=Control!$B$17,"FINISHED",IF(AND(A633&gt;=INDEX(Drivers!$G$8:$G$13,B633),A633&lt;INDEX(Drivers!$G$8:$G$13,B633)+INDEX(Drivers!$J$8:$J$13,B633)),"PIT",IF(MOD(A633+INDEX(Drivers!$F$8:$F$13,B633),Control!$B$11)&lt;Control!$B$13,"BOOST","RACE"))))</x:f>
        <x:v>RACE</x:v>
      </x:c>
      <x:c r="F633" s="83" t="n">
        <x:f>IF(OR(E633="GRID",E633="FINISHED",E633="PIT"),0,MAX(Control!$B$15,(INDEX(Drivers!$D$8:$D$13,B633)+INDEX(Drivers!$E$8:$E$13,B633)*SIN((A633+INDEX(Drivers!$F$8:$F$13,B633)+Control!$B$16)*Control!$B$14))*INDEX(TrackMap!$M$8:$M$141,MOD(INT(D633)-1,Control!$B$7)+1)*IF(E633="BOOST",Control!$B$12,1)))</x:f>
        <x:v>3.151277093853972</x:v>
      </x:c>
      <x:c r="G633" s="83" t="n">
        <x:f>IF(A633=0,D633,MIN(Control!$B$17,D633+F633))</x:f>
        <x:v>355.04934477008436</x:v>
      </x:c>
      <x:c r="H633" s="73" t="n">
        <x:f>MOD(INT(G633)-1,Control!$B$7)+1</x:f>
        <x:v>87</x:v>
      </x:c>
      <x:c r="I633" s="73" t="n">
        <x:f>MIN(Control!$B$6,MAX(1,INT(MAX(0,G633)/Control!$B$7)+1))</x:f>
        <x:v>3</x:v>
      </x:c>
      <x:c r="J633" s="73" t="n">
        <x:f>INDEX(Drivers!$H$8:$H$13,B633)</x:f>
        <x:v>2</x:v>
      </x:c>
      <x:c r="K633" s="73" t="n">
        <x:f>IF(J633=1,INDEX(TrackMap!$I$8:$I$141,H633),INDEX(TrackMap!$L$8:$L$141,H633))</x:f>
        <x:v>1651</x:v>
      </x:c>
      <x:c r="L633" s="73" t="str">
        <x:f>INDEX(TrackMap!$F$8:$F$141,H633)</x:f>
        <x:v>↓</x:v>
      </x:c>
      <x:c r="M633" s="87" t="n">
        <x:f>MAX(0,G633/Control!$B$17)</x:f>
        <x:v>0.5299243951792304</x:v>
      </x:c>
      <x:c r="N633" s="73" t="n">
        <x:f>IF(N627&gt;0,N627,IF(G633&gt;=Control!$B$17,A633,0))</x:f>
        <x:v>0</x:v>
      </x:c>
      <x:c r="O633" s="91" t="n">
        <x:f>IF(N633&gt;0,Control!$B$17+Control!$B$8+1-N633,G633)-B633/100000</x:f>
        <x:v>355.04932477008435</x:v>
      </x:c>
      <x:c r="P633" s="73" t="n">
        <x:f>COUNTIF($O$632:$O$637,"&gt;"&amp;O633)+1</x:f>
        <x:v>5</x:v>
      </x:c>
      <x:c r="Q633" s="83" t="n">
        <x:f>MAX($G$632:$G$637)-G633</x:f>
        <x:v>5.036844693203079</x:v>
      </x:c>
      <x:c r="R633" s="73" t="str">
        <x:f>INDEX(TrackMap!$B$8:$B$141,H633)</x:f>
        <x:v>东侧长直道</x:v>
      </x:c>
    </x:row>
    <x:row r="634" ht="20" customHeight="1">
      <x:c r="A634" s="73" t="n">
        <x:v>104</x:v>
      </x:c>
      <x:c r="B634" s="73" t="n">
        <x:v>3</x:v>
      </x:c>
      <x:c r="C634" s="73" t="str">
        <x:f>INDEX(Drivers!$B$8:$B$13,B634)</x:f>
        <x:v>金翼</x:v>
      </x:c>
      <x:c r="D634" s="83" t="n">
        <x:f>G628</x:f>
        <x:v>356.8809197159809</x:v>
      </x:c>
      <x:c r="E634" s="83" t="str">
        <x:f>IF(A634=0,"GRID",IF(D634&gt;=Control!$B$17,"FINISHED",IF(AND(A634&gt;=INDEX(Drivers!$G$8:$G$13,B634),A634&lt;INDEX(Drivers!$G$8:$G$13,B634)+INDEX(Drivers!$J$8:$J$13,B634)),"PIT",IF(MOD(A634+INDEX(Drivers!$F$8:$F$13,B634),Control!$B$11)&lt;Control!$B$13,"BOOST","RACE"))))</x:f>
        <x:v>RACE</x:v>
      </x:c>
      <x:c r="F634" s="83" t="n">
        <x:f>IF(OR(E634="GRID",E634="FINISHED",E634="PIT"),0,MAX(Control!$B$15,(INDEX(Drivers!$D$8:$D$13,B634)+INDEX(Drivers!$E$8:$E$13,B634)*SIN((A634+INDEX(Drivers!$F$8:$F$13,B634)+Control!$B$16)*Control!$B$14))*INDEX(TrackMap!$M$8:$M$141,MOD(INT(D634)-1,Control!$B$7)+1)*IF(E634="BOOST",Control!$B$12,1)))</x:f>
        <x:v>3.2052697473065592</x:v>
      </x:c>
      <x:c r="G634" s="83" t="n">
        <x:f>IF(A634=0,D634,MIN(Control!$B$17,D634+F634))</x:f>
        <x:v>360.08618946328744</x:v>
      </x:c>
      <x:c r="H634" s="73" t="n">
        <x:f>MOD(INT(G634)-1,Control!$B$7)+1</x:f>
        <x:v>92</x:v>
      </x:c>
      <x:c r="I634" s="73" t="n">
        <x:f>MIN(Control!$B$6,MAX(1,INT(MAX(0,G634)/Control!$B$7)+1))</x:f>
        <x:v>3</x:v>
      </x:c>
      <x:c r="J634" s="73" t="n">
        <x:f>INDEX(Drivers!$H$8:$H$13,B634)</x:f>
        <x:v>1</x:v>
      </x:c>
      <x:c r="K634" s="73" t="n">
        <x:f>IF(J634=1,INDEX(TrackMap!$I$8:$I$141,H634),INDEX(TrackMap!$L$8:$L$141,H634))</x:f>
        <x:v>2152</x:v>
      </x:c>
      <x:c r="L634" s="73" t="str">
        <x:f>INDEX(TrackMap!$F$8:$F$141,H634)</x:f>
        <x:v>↓</x:v>
      </x:c>
      <x:c r="M634" s="87" t="n">
        <x:f>MAX(0,G634/Control!$B$17)</x:f>
        <x:v>0.5374420738258021</x:v>
      </x:c>
      <x:c r="N634" s="73" t="n">
        <x:f>IF(N628&gt;0,N628,IF(G634&gt;=Control!$B$17,A634,0))</x:f>
        <x:v>0</x:v>
      </x:c>
      <x:c r="O634" s="91" t="n">
        <x:f>IF(N634&gt;0,Control!$B$17+Control!$B$8+1-N634,G634)-B634/100000</x:f>
        <x:v>360.08615946328746</x:v>
      </x:c>
      <x:c r="P634" s="73" t="n">
        <x:f>COUNTIF($O$632:$O$637,"&gt;"&amp;O634)+1</x:f>
        <x:v>1</x:v>
      </x:c>
      <x:c r="Q634" s="83" t="n">
        <x:f>MAX($G$632:$G$637)-G634</x:f>
        <x:v>0</x:v>
      </x:c>
      <x:c r="R634" s="73" t="str">
        <x:f>INDEX(TrackMap!$B$8:$B$141,H634)</x:f>
        <x:v>东侧长直道</x:v>
      </x:c>
    </x:row>
    <x:row r="635" ht="20" customHeight="1">
      <x:c r="A635" s="73" t="n">
        <x:v>104</x:v>
      </x:c>
      <x:c r="B635" s="73" t="n">
        <x:v>4</x:v>
      </x:c>
      <x:c r="C635" s="73" t="str">
        <x:f>INDEX(Drivers!$B$8:$B$13,B635)</x:f>
        <x:v>紫影</x:v>
      </x:c>
      <x:c r="D635" s="83" t="n">
        <x:f>G629</x:f>
        <x:v>353.86803007526737</x:v>
      </x:c>
      <x:c r="E635" s="83" t="str">
        <x:f>IF(A635=0,"GRID",IF(D635&gt;=Control!$B$17,"FINISHED",IF(AND(A635&gt;=INDEX(Drivers!$G$8:$G$13,B635),A635&lt;INDEX(Drivers!$G$8:$G$13,B635)+INDEX(Drivers!$J$8:$J$13,B635)),"PIT",IF(MOD(A635+INDEX(Drivers!$F$8:$F$13,B635),Control!$B$11)&lt;Control!$B$13,"BOOST","RACE"))))</x:f>
        <x:v>BOOST</x:v>
      </x:c>
      <x:c r="F635" s="83" t="n">
        <x:f>IF(OR(E635="GRID",E635="FINISHED",E635="PIT"),0,MAX(Control!$B$15,(INDEX(Drivers!$D$8:$D$13,B635)+INDEX(Drivers!$E$8:$E$13,B635)*SIN((A635+INDEX(Drivers!$F$8:$F$13,B635)+Control!$B$16)*Control!$B$14))*INDEX(TrackMap!$M$8:$M$141,MOD(INT(D635)-1,Control!$B$7)+1)*IF(E635="BOOST",Control!$B$12,1)))</x:f>
        <x:v>5.579262062387089</x:v>
      </x:c>
      <x:c r="G635" s="83" t="n">
        <x:f>IF(A635=0,D635,MIN(Control!$B$17,D635+F635))</x:f>
        <x:v>359.4472921376545</x:v>
      </x:c>
      <x:c r="H635" s="73" t="n">
        <x:f>MOD(INT(G635)-1,Control!$B$7)+1</x:f>
        <x:v>91</x:v>
      </x:c>
      <x:c r="I635" s="73" t="n">
        <x:f>MIN(Control!$B$6,MAX(1,INT(MAX(0,G635)/Control!$B$7)+1))</x:f>
        <x:v>3</x:v>
      </x:c>
      <x:c r="J635" s="73" t="n">
        <x:f>INDEX(Drivers!$H$8:$H$13,B635)</x:f>
        <x:v>2</x:v>
      </x:c>
      <x:c r="K635" s="73" t="n">
        <x:f>IF(J635=1,INDEX(TrackMap!$I$8:$I$141,H635),INDEX(TrackMap!$L$8:$L$141,H635))</x:f>
        <x:v>2051</x:v>
      </x:c>
      <x:c r="L635" s="73" t="str">
        <x:f>INDEX(TrackMap!$F$8:$F$141,H635)</x:f>
        <x:v>↓</x:v>
      </x:c>
      <x:c r="M635" s="87" t="n">
        <x:f>MAX(0,G635/Control!$B$17)</x:f>
        <x:v>0.5364884957278425</x:v>
      </x:c>
      <x:c r="N635" s="73" t="n">
        <x:f>IF(N629&gt;0,N629,IF(G635&gt;=Control!$B$17,A635,0))</x:f>
        <x:v>0</x:v>
      </x:c>
      <x:c r="O635" s="91" t="n">
        <x:f>IF(N635&gt;0,Control!$B$17+Control!$B$8+1-N635,G635)-B635/100000</x:f>
        <x:v>359.44725213765446</x:v>
      </x:c>
      <x:c r="P635" s="73" t="n">
        <x:f>COUNTIF($O$632:$O$637,"&gt;"&amp;O635)+1</x:f>
        <x:v>2</x:v>
      </x:c>
      <x:c r="Q635" s="83" t="n">
        <x:f>MAX($G$632:$G$637)-G635</x:f>
        <x:v>0.6388973256329677</x:v>
      </x:c>
      <x:c r="R635" s="73" t="str">
        <x:f>INDEX(TrackMap!$B$8:$B$141,H635)</x:f>
        <x:v>东侧长直道</x:v>
      </x:c>
    </x:row>
    <x:row r="636" ht="20" customHeight="1">
      <x:c r="A636" s="73" t="n">
        <x:v>104</x:v>
      </x:c>
      <x:c r="B636" s="73" t="n">
        <x:v>5</x:v>
      </x:c>
      <x:c r="C636" s="73" t="str">
        <x:f>INDEX(Drivers!$B$8:$B$13,B636)</x:f>
        <x:v>青锋</x:v>
      </x:c>
      <x:c r="D636" s="83" t="n">
        <x:f>G630</x:f>
        <x:v>352.6595378391684</x:v>
      </x:c>
      <x:c r="E636" s="83" t="str">
        <x:f>IF(A636=0,"GRID",IF(D636&gt;=Control!$B$17,"FINISHED",IF(AND(A636&gt;=INDEX(Drivers!$G$8:$G$13,B636),A636&lt;INDEX(Drivers!$G$8:$G$13,B636)+INDEX(Drivers!$J$8:$J$13,B636)),"PIT",IF(MOD(A636+INDEX(Drivers!$F$8:$F$13,B636),Control!$B$11)&lt;Control!$B$13,"BOOST","RACE"))))</x:f>
        <x:v>RACE</x:v>
      </x:c>
      <x:c r="F636" s="83" t="n">
        <x:f>IF(OR(E636="GRID",E636="FINISHED",E636="PIT"),0,MAX(Control!$B$15,(INDEX(Drivers!$D$8:$D$13,B636)+INDEX(Drivers!$E$8:$E$13,B636)*SIN((A636+INDEX(Drivers!$F$8:$F$13,B636)+Control!$B$16)*Control!$B$14))*INDEX(TrackMap!$M$8:$M$141,MOD(INT(D636)-1,Control!$B$7)+1)*IF(E636="BOOST",Control!$B$12,1)))</x:f>
        <x:v>4.106259340823826</x:v>
      </x:c>
      <x:c r="G636" s="83" t="n">
        <x:f>IF(A636=0,D636,MIN(Control!$B$17,D636+F636))</x:f>
        <x:v>356.76579717999226</x:v>
      </x:c>
      <x:c r="H636" s="73" t="n">
        <x:f>MOD(INT(G636)-1,Control!$B$7)+1</x:f>
        <x:v>88</x:v>
      </x:c>
      <x:c r="I636" s="73" t="n">
        <x:f>MIN(Control!$B$6,MAX(1,INT(MAX(0,G636)/Control!$B$7)+1))</x:f>
        <x:v>3</x:v>
      </x:c>
      <x:c r="J636" s="73" t="n">
        <x:f>INDEX(Drivers!$H$8:$H$13,B636)</x:f>
        <x:v>1</x:v>
      </x:c>
      <x:c r="K636" s="73" t="n">
        <x:f>IF(J636=1,INDEX(TrackMap!$I$8:$I$141,H636),INDEX(TrackMap!$L$8:$L$141,H636))</x:f>
        <x:v>1752</x:v>
      </x:c>
      <x:c r="L636" s="73" t="str">
        <x:f>INDEX(TrackMap!$F$8:$F$141,H636)</x:f>
        <x:v>↓</x:v>
      </x:c>
      <x:c r="M636" s="87" t="n">
        <x:f>MAX(0,G636/Control!$B$17)</x:f>
        <x:v>0.5324862644477496</x:v>
      </x:c>
      <x:c r="N636" s="73" t="n">
        <x:f>IF(N630&gt;0,N630,IF(G636&gt;=Control!$B$17,A636,0))</x:f>
        <x:v>0</x:v>
      </x:c>
      <x:c r="O636" s="91" t="n">
        <x:f>IF(N636&gt;0,Control!$B$17+Control!$B$8+1-N636,G636)-B636/100000</x:f>
        <x:v>356.7657471799923</x:v>
      </x:c>
      <x:c r="P636" s="73" t="n">
        <x:f>COUNTIF($O$632:$O$637,"&gt;"&amp;O636)+1</x:f>
        <x:v>4</x:v>
      </x:c>
      <x:c r="Q636" s="83" t="n">
        <x:f>MAX($G$632:$G$637)-G636</x:f>
        <x:v>3.3203922832951775</x:v>
      </x:c>
      <x:c r="R636" s="73" t="str">
        <x:f>INDEX(TrackMap!$B$8:$B$141,H636)</x:f>
        <x:v>东侧长直道</x:v>
      </x:c>
    </x:row>
    <x:row r="637" ht="20" customHeight="1">
      <x:c r="A637" s="73" t="n">
        <x:v>104</x:v>
      </x:c>
      <x:c r="B637" s="73" t="n">
        <x:v>6</x:v>
      </x:c>
      <x:c r="C637" s="73" t="str">
        <x:f>INDEX(Drivers!$B$8:$B$13,B637)</x:f>
        <x:v>玫速</x:v>
      </x:c>
      <x:c r="D637" s="83" t="n">
        <x:f>G631</x:f>
        <x:v>354.11767433094235</x:v>
      </x:c>
      <x:c r="E637" s="83" t="str">
        <x:f>IF(A637=0,"GRID",IF(D637&gt;=Control!$B$17,"FINISHED",IF(AND(A637&gt;=INDEX(Drivers!$G$8:$G$13,B637),A637&lt;INDEX(Drivers!$G$8:$G$13,B637)+INDEX(Drivers!$J$8:$J$13,B637)),"PIT",IF(MOD(A637+INDEX(Drivers!$F$8:$F$13,B637),Control!$B$11)&lt;Control!$B$13,"BOOST","RACE"))))</x:f>
        <x:v>RACE</x:v>
      </x:c>
      <x:c r="F637" s="83" t="n">
        <x:f>IF(OR(E637="GRID",E637="FINISHED",E637="PIT"),0,MAX(Control!$B$15,(INDEX(Drivers!$D$8:$D$13,B637)+INDEX(Drivers!$E$8:$E$13,B637)*SIN((A637+INDEX(Drivers!$F$8:$F$13,B637)+Control!$B$16)*Control!$B$14))*INDEX(TrackMap!$M$8:$M$141,MOD(INT(D637)-1,Control!$B$7)+1)*IF(E637="BOOST",Control!$B$12,1)))</x:f>
        <x:v>3.338195081464197</x:v>
      </x:c>
      <x:c r="G637" s="83" t="n">
        <x:f>IF(A637=0,D637,MIN(Control!$B$17,D637+F637))</x:f>
        <x:v>357.45586941240657</x:v>
      </x:c>
      <x:c r="H637" s="73" t="n">
        <x:f>MOD(INT(G637)-1,Control!$B$7)+1</x:f>
        <x:v>89</x:v>
      </x:c>
      <x:c r="I637" s="73" t="n">
        <x:f>MIN(Control!$B$6,MAX(1,INT(MAX(0,G637)/Control!$B$7)+1))</x:f>
        <x:v>3</x:v>
      </x:c>
      <x:c r="J637" s="73" t="n">
        <x:f>INDEX(Drivers!$H$8:$H$13,B637)</x:f>
        <x:v>2</x:v>
      </x:c>
      <x:c r="K637" s="73" t="n">
        <x:f>IF(J637=1,INDEX(TrackMap!$I$8:$I$141,H637),INDEX(TrackMap!$L$8:$L$141,H637))</x:f>
        <x:v>1851</x:v>
      </x:c>
      <x:c r="L637" s="73" t="str">
        <x:f>INDEX(TrackMap!$F$8:$F$141,H637)</x:f>
        <x:v>↓</x:v>
      </x:c>
      <x:c r="M637" s="87" t="n">
        <x:f>MAX(0,G637/Control!$B$17)</x:f>
        <x:v>0.5335162230035919</x:v>
      </x:c>
      <x:c r="N637" s="73" t="n">
        <x:f>IF(N631&gt;0,N631,IF(G637&gt;=Control!$B$17,A637,0))</x:f>
        <x:v>0</x:v>
      </x:c>
      <x:c r="O637" s="91" t="n">
        <x:f>IF(N637&gt;0,Control!$B$17+Control!$B$8+1-N637,G637)-B637/100000</x:f>
        <x:v>357.45580941240655</x:v>
      </x:c>
      <x:c r="P637" s="73" t="n">
        <x:f>COUNTIF($O$632:$O$637,"&gt;"&amp;O637)+1</x:f>
        <x:v>3</x:v>
      </x:c>
      <x:c r="Q637" s="83" t="n">
        <x:f>MAX($G$632:$G$637)-G637</x:f>
        <x:v>2.6303200508808686</x:v>
      </x:c>
      <x:c r="R637" s="73" t="str">
        <x:f>INDEX(TrackMap!$B$8:$B$141,H637)</x:f>
        <x:v>东侧长直道</x:v>
      </x:c>
    </x:row>
    <x:row r="638" ht="20" customHeight="1">
      <x:c r="A638" s="73" t="n">
        <x:v>105</x:v>
      </x:c>
      <x:c r="B638" s="73" t="n">
        <x:v>1</x:v>
      </x:c>
      <x:c r="C638" s="73" t="str">
        <x:f>INDEX(Drivers!$B$8:$B$13,B638)</x:f>
        <x:v>赤焰</x:v>
      </x:c>
      <x:c r="D638" s="83" t="n">
        <x:f>G632</x:f>
        <x:v>350.9001188837608</x:v>
      </x:c>
      <x:c r="E638" s="83" t="str">
        <x:f>IF(A638=0,"GRID",IF(D638&gt;=Control!$B$17,"FINISHED",IF(AND(A638&gt;=INDEX(Drivers!$G$8:$G$13,B638),A638&lt;INDEX(Drivers!$G$8:$G$13,B638)+INDEX(Drivers!$J$8:$J$13,B638)),"PIT",IF(MOD(A638+INDEX(Drivers!$F$8:$F$13,B638),Control!$B$11)&lt;Control!$B$13,"BOOST","RACE"))))</x:f>
        <x:v>RACE</x:v>
      </x:c>
      <x:c r="F638" s="83" t="n">
        <x:f>IF(OR(E638="GRID",E638="FINISHED",E638="PIT"),0,MAX(Control!$B$15,(INDEX(Drivers!$D$8:$D$13,B638)+INDEX(Drivers!$E$8:$E$13,B638)*SIN((A638+INDEX(Drivers!$F$8:$F$13,B638)+Control!$B$16)*Control!$B$14))*INDEX(TrackMap!$M$8:$M$141,MOD(INT(D638)-1,Control!$B$7)+1)*IF(E638="BOOST",Control!$B$12,1)))</x:f>
        <x:v>2.867456762041521</x:v>
      </x:c>
      <x:c r="G638" s="83" t="n">
        <x:f>IF(A638=0,D638,MIN(Control!$B$17,D638+F638))</x:f>
        <x:v>353.7675756458023</x:v>
      </x:c>
      <x:c r="H638" s="73" t="n">
        <x:f>MOD(INT(G638)-1,Control!$B$7)+1</x:f>
        <x:v>85</x:v>
      </x:c>
      <x:c r="I638" s="73" t="n">
        <x:f>MIN(Control!$B$6,MAX(1,INT(MAX(0,G638)/Control!$B$7)+1))</x:f>
        <x:v>3</x:v>
      </x:c>
      <x:c r="J638" s="73" t="n">
        <x:f>INDEX(Drivers!$H$8:$H$13,B638)</x:f>
        <x:v>1</x:v>
      </x:c>
      <x:c r="K638" s="73" t="n">
        <x:f>IF(J638=1,INDEX(TrackMap!$I$8:$I$141,H638),INDEX(TrackMap!$L$8:$L$141,H638))</x:f>
        <x:v>1452</x:v>
      </x:c>
      <x:c r="L638" s="73" t="str">
        <x:f>INDEX(TrackMap!$F$8:$F$141,H638)</x:f>
        <x:v>↓</x:v>
      </x:c>
      <x:c r="M638" s="87" t="n">
        <x:f>MAX(0,G638/Control!$B$17)</x:f>
        <x:v>0.5280113069340333</x:v>
      </x:c>
      <x:c r="N638" s="73" t="n">
        <x:f>IF(N632&gt;0,N632,IF(G638&gt;=Control!$B$17,A638,0))</x:f>
        <x:v>0</x:v>
      </x:c>
      <x:c r="O638" s="91" t="n">
        <x:f>IF(N638&gt;0,Control!$B$17+Control!$B$8+1-N638,G638)-B638/100000</x:f>
        <x:v>353.76756564580234</x:v>
      </x:c>
      <x:c r="P638" s="73" t="n">
        <x:f>COUNTIF($O$638:$O$643,"&gt;"&amp;O638)+1</x:f>
        <x:v>6</x:v>
      </x:c>
      <x:c r="Q638" s="83" t="n">
        <x:f>MAX($G$638:$G$643)-G638</x:f>
        <x:v>9.583544773567326</x:v>
      </x:c>
      <x:c r="R638" s="73" t="str">
        <x:f>INDEX(TrackMap!$B$8:$B$141,H638)</x:f>
        <x:v>东侧长直道</x:v>
      </x:c>
    </x:row>
    <x:row r="639" ht="20" customHeight="1">
      <x:c r="A639" s="73" t="n">
        <x:v>105</x:v>
      </x:c>
      <x:c r="B639" s="73" t="n">
        <x:v>2</x:v>
      </x:c>
      <x:c r="C639" s="73" t="str">
        <x:f>INDEX(Drivers!$B$8:$B$13,B639)</x:f>
        <x:v>蓝电</x:v>
      </x:c>
      <x:c r="D639" s="83" t="n">
        <x:f>G633</x:f>
        <x:v>355.04934477008436</x:v>
      </x:c>
      <x:c r="E639" s="83" t="str">
        <x:f>IF(A639=0,"GRID",IF(D639&gt;=Control!$B$17,"FINISHED",IF(AND(A639&gt;=INDEX(Drivers!$G$8:$G$13,B639),A639&lt;INDEX(Drivers!$G$8:$G$13,B639)+INDEX(Drivers!$J$8:$J$13,B639)),"PIT",IF(MOD(A639+INDEX(Drivers!$F$8:$F$13,B639),Control!$B$11)&lt;Control!$B$13,"BOOST","RACE"))))</x:f>
        <x:v>RACE</x:v>
      </x:c>
      <x:c r="F639" s="83" t="n">
        <x:f>IF(OR(E639="GRID",E639="FINISHED",E639="PIT"),0,MAX(Control!$B$15,(INDEX(Drivers!$D$8:$D$13,B639)+INDEX(Drivers!$E$8:$E$13,B639)*SIN((A639+INDEX(Drivers!$F$8:$F$13,B639)+Control!$B$16)*Control!$B$14))*INDEX(TrackMap!$M$8:$M$141,MOD(INT(D639)-1,Control!$B$7)+1)*IF(E639="BOOST",Control!$B$12,1)))</x:f>
        <x:v>3.869701316220317</x:v>
      </x:c>
      <x:c r="G639" s="83" t="n">
        <x:f>IF(A639=0,D639,MIN(Control!$B$17,D639+F639))</x:f>
        <x:v>358.91904608630466</x:v>
      </x:c>
      <x:c r="H639" s="73" t="n">
        <x:f>MOD(INT(G639)-1,Control!$B$7)+1</x:f>
        <x:v>90</x:v>
      </x:c>
      <x:c r="I639" s="73" t="n">
        <x:f>MIN(Control!$B$6,MAX(1,INT(MAX(0,G639)/Control!$B$7)+1))</x:f>
        <x:v>3</x:v>
      </x:c>
      <x:c r="J639" s="73" t="n">
        <x:f>INDEX(Drivers!$H$8:$H$13,B639)</x:f>
        <x:v>2</x:v>
      </x:c>
      <x:c r="K639" s="73" t="n">
        <x:f>IF(J639=1,INDEX(TrackMap!$I$8:$I$141,H639),INDEX(TrackMap!$L$8:$L$141,H639))</x:f>
        <x:v>1951</x:v>
      </x:c>
      <x:c r="L639" s="73" t="str">
        <x:f>INDEX(TrackMap!$F$8:$F$141,H639)</x:f>
        <x:v>↓</x:v>
      </x:c>
      <x:c r="M639" s="87" t="n">
        <x:f>MAX(0,G639/Control!$B$17)</x:f>
        <x:v>0.5357000687855293</x:v>
      </x:c>
      <x:c r="N639" s="73" t="n">
        <x:f>IF(N633&gt;0,N633,IF(G639&gt;=Control!$B$17,A639,0))</x:f>
        <x:v>0</x:v>
      </x:c>
      <x:c r="O639" s="91" t="n">
        <x:f>IF(N639&gt;0,Control!$B$17+Control!$B$8+1-N639,G639)-B639/100000</x:f>
        <x:v>358.91902608630465</x:v>
      </x:c>
      <x:c r="P639" s="73" t="n">
        <x:f>COUNTIF($O$638:$O$643,"&gt;"&amp;O639)+1</x:f>
        <x:v>5</x:v>
      </x:c>
      <x:c r="Q639" s="83" t="n">
        <x:f>MAX($G$638:$G$643)-G639</x:f>
        <x:v>4.432074333064975</x:v>
      </x:c>
      <x:c r="R639" s="73" t="str">
        <x:f>INDEX(TrackMap!$B$8:$B$141,H639)</x:f>
        <x:v>东侧长直道</x:v>
      </x:c>
    </x:row>
    <x:row r="640" ht="20" customHeight="1">
      <x:c r="A640" s="73" t="n">
        <x:v>105</x:v>
      </x:c>
      <x:c r="B640" s="73" t="n">
        <x:v>3</x:v>
      </x:c>
      <x:c r="C640" s="73" t="str">
        <x:f>INDEX(Drivers!$B$8:$B$13,B640)</x:f>
        <x:v>金翼</x:v>
      </x:c>
      <x:c r="D640" s="83" t="n">
        <x:f>G634</x:f>
        <x:v>360.08618946328744</x:v>
      </x:c>
      <x:c r="E640" s="83" t="str">
        <x:f>IF(A640=0,"GRID",IF(D640&gt;=Control!$B$17,"FINISHED",IF(AND(A640&gt;=INDEX(Drivers!$G$8:$G$13,B640),A640&lt;INDEX(Drivers!$G$8:$G$13,B640)+INDEX(Drivers!$J$8:$J$13,B640)),"PIT",IF(MOD(A640+INDEX(Drivers!$F$8:$F$13,B640),Control!$B$11)&lt;Control!$B$13,"BOOST","RACE"))))</x:f>
        <x:v>RACE</x:v>
      </x:c>
      <x:c r="F640" s="83" t="n">
        <x:f>IF(OR(E640="GRID",E640="FINISHED",E640="PIT"),0,MAX(Control!$B$15,(INDEX(Drivers!$D$8:$D$13,B640)+INDEX(Drivers!$E$8:$E$13,B640)*SIN((A640+INDEX(Drivers!$F$8:$F$13,B640)+Control!$B$16)*Control!$B$14))*INDEX(TrackMap!$M$8:$M$141,MOD(INT(D640)-1,Control!$B$7)+1)*IF(E640="BOOST",Control!$B$12,1)))</x:f>
        <x:v>3.264930956082177</x:v>
      </x:c>
      <x:c r="G640" s="83" t="n">
        <x:f>IF(A640=0,D640,MIN(Control!$B$17,D640+F640))</x:f>
        <x:v>363.35112041936964</x:v>
      </x:c>
      <x:c r="H640" s="73" t="n">
        <x:f>MOD(INT(G640)-1,Control!$B$7)+1</x:f>
        <x:v>95</x:v>
      </x:c>
      <x:c r="I640" s="73" t="n">
        <x:f>MIN(Control!$B$6,MAX(1,INT(MAX(0,G640)/Control!$B$7)+1))</x:f>
        <x:v>3</x:v>
      </x:c>
      <x:c r="J640" s="73" t="n">
        <x:f>INDEX(Drivers!$H$8:$H$13,B640)</x:f>
        <x:v>1</x:v>
      </x:c>
      <x:c r="K640" s="73" t="n">
        <x:f>IF(J640=1,INDEX(TrackMap!$I$8:$I$141,H640),INDEX(TrackMap!$L$8:$L$141,H640))</x:f>
        <x:v>2452</x:v>
      </x:c>
      <x:c r="L640" s="73" t="str">
        <x:f>INDEX(TrackMap!$F$8:$F$141,H640)</x:f>
        <x:v>↓</x:v>
      </x:c>
      <x:c r="M640" s="87" t="n">
        <x:f>MAX(0,G640/Control!$B$17)</x:f>
        <x:v>0.5423151051035368</x:v>
      </x:c>
      <x:c r="N640" s="73" t="n">
        <x:f>IF(N634&gt;0,N634,IF(G640&gt;=Control!$B$17,A640,0))</x:f>
        <x:v>0</x:v>
      </x:c>
      <x:c r="O640" s="91" t="n">
        <x:f>IF(N640&gt;0,Control!$B$17+Control!$B$8+1-N640,G640)-B640/100000</x:f>
        <x:v>363.35109041936965</x:v>
      </x:c>
      <x:c r="P640" s="73" t="n">
        <x:f>COUNTIF($O$638:$O$643,"&gt;"&amp;O640)+1</x:f>
        <x:v>1</x:v>
      </x:c>
      <x:c r="Q640" s="83" t="n">
        <x:f>MAX($G$638:$G$643)-G640</x:f>
        <x:v>0</x:v>
      </x:c>
      <x:c r="R640" s="73" t="str">
        <x:f>INDEX(TrackMap!$B$8:$B$141,H640)</x:f>
        <x:v>东侧长直道</x:v>
      </x:c>
    </x:row>
    <x:row r="641" ht="20" customHeight="1">
      <x:c r="A641" s="73" t="n">
        <x:v>105</x:v>
      </x:c>
      <x:c r="B641" s="73" t="n">
        <x:v>4</x:v>
      </x:c>
      <x:c r="C641" s="73" t="str">
        <x:f>INDEX(Drivers!$B$8:$B$13,B641)</x:f>
        <x:v>紫影</x:v>
      </x:c>
      <x:c r="D641" s="83" t="n">
        <x:f>G635</x:f>
        <x:v>359.4472921376545</x:v>
      </x:c>
      <x:c r="E641" s="83" t="str">
        <x:f>IF(A641=0,"GRID",IF(D641&gt;=Control!$B$17,"FINISHED",IF(AND(A641&gt;=INDEX(Drivers!$G$8:$G$13,B641),A641&lt;INDEX(Drivers!$G$8:$G$13,B641)+INDEX(Drivers!$J$8:$J$13,B641)),"PIT",IF(MOD(A641+INDEX(Drivers!$F$8:$F$13,B641),Control!$B$11)&lt;Control!$B$13,"BOOST","RACE"))))</x:f>
        <x:v>PIT</x:v>
      </x:c>
      <x:c r="F641" s="83" t="n">
        <x:f>IF(OR(E641="GRID",E641="FINISHED",E641="PIT"),0,MAX(Control!$B$15,(INDEX(Drivers!$D$8:$D$13,B641)+INDEX(Drivers!$E$8:$E$13,B641)*SIN((A641+INDEX(Drivers!$F$8:$F$13,B641)+Control!$B$16)*Control!$B$14))*INDEX(TrackMap!$M$8:$M$141,MOD(INT(D641)-1,Control!$B$7)+1)*IF(E641="BOOST",Control!$B$12,1)))</x:f>
        <x:v>0</x:v>
      </x:c>
      <x:c r="G641" s="83" t="n">
        <x:f>IF(A641=0,D641,MIN(Control!$B$17,D641+F641))</x:f>
        <x:v>359.4472921376545</x:v>
      </x:c>
      <x:c r="H641" s="73" t="n">
        <x:f>MOD(INT(G641)-1,Control!$B$7)+1</x:f>
        <x:v>91</x:v>
      </x:c>
      <x:c r="I641" s="73" t="n">
        <x:f>MIN(Control!$B$6,MAX(1,INT(MAX(0,G641)/Control!$B$7)+1))</x:f>
        <x:v>3</x:v>
      </x:c>
      <x:c r="J641" s="73" t="n">
        <x:f>INDEX(Drivers!$H$8:$H$13,B641)</x:f>
        <x:v>2</x:v>
      </x:c>
      <x:c r="K641" s="73" t="n">
        <x:f>IF(J641=1,INDEX(TrackMap!$I$8:$I$141,H641),INDEX(TrackMap!$L$8:$L$141,H641))</x:f>
        <x:v>2051</x:v>
      </x:c>
      <x:c r="L641" s="73" t="str">
        <x:f>INDEX(TrackMap!$F$8:$F$141,H641)</x:f>
        <x:v>↓</x:v>
      </x:c>
      <x:c r="M641" s="87" t="n">
        <x:f>MAX(0,G641/Control!$B$17)</x:f>
        <x:v>0.5364884957278425</x:v>
      </x:c>
      <x:c r="N641" s="73" t="n">
        <x:f>IF(N635&gt;0,N635,IF(G641&gt;=Control!$B$17,A641,0))</x:f>
        <x:v>0</x:v>
      </x:c>
      <x:c r="O641" s="91" t="n">
        <x:f>IF(N641&gt;0,Control!$B$17+Control!$B$8+1-N641,G641)-B641/100000</x:f>
        <x:v>359.44725213765446</x:v>
      </x:c>
      <x:c r="P641" s="73" t="n">
        <x:f>COUNTIF($O$638:$O$643,"&gt;"&amp;O641)+1</x:f>
        <x:v>4</x:v>
      </x:c>
      <x:c r="Q641" s="83" t="n">
        <x:f>MAX($G$638:$G$643)-G641</x:f>
        <x:v>3.903828281715164</x:v>
      </x:c>
      <x:c r="R641" s="73" t="str">
        <x:f>INDEX(TrackMap!$B$8:$B$141,H641)</x:f>
        <x:v>东侧长直道</x:v>
      </x:c>
    </x:row>
    <x:row r="642" ht="20" customHeight="1">
      <x:c r="A642" s="73" t="n">
        <x:v>105</x:v>
      </x:c>
      <x:c r="B642" s="73" t="n">
        <x:v>5</x:v>
      </x:c>
      <x:c r="C642" s="73" t="str">
        <x:f>INDEX(Drivers!$B$8:$B$13,B642)</x:f>
        <x:v>青锋</x:v>
      </x:c>
      <x:c r="D642" s="83" t="n">
        <x:f>G636</x:f>
        <x:v>356.76579717999226</x:v>
      </x:c>
      <x:c r="E642" s="83" t="str">
        <x:f>IF(A642=0,"GRID",IF(D642&gt;=Control!$B$17,"FINISHED",IF(AND(A642&gt;=INDEX(Drivers!$G$8:$G$13,B642),A642&lt;INDEX(Drivers!$G$8:$G$13,B642)+INDEX(Drivers!$J$8:$J$13,B642)),"PIT",IF(MOD(A642+INDEX(Drivers!$F$8:$F$13,B642),Control!$B$11)&lt;Control!$B$13,"BOOST","RACE"))))</x:f>
        <x:v>RACE</x:v>
      </x:c>
      <x:c r="F642" s="83" t="n">
        <x:f>IF(OR(E642="GRID",E642="FINISHED",E642="PIT"),0,MAX(Control!$B$15,(INDEX(Drivers!$D$8:$D$13,B642)+INDEX(Drivers!$E$8:$E$13,B642)*SIN((A642+INDEX(Drivers!$F$8:$F$13,B642)+Control!$B$16)*Control!$B$14))*INDEX(TrackMap!$M$8:$M$141,MOD(INT(D642)-1,Control!$B$7)+1)*IF(E642="BOOST",Control!$B$12,1)))</x:f>
        <x:v>4.149517242296861</x:v>
      </x:c>
      <x:c r="G642" s="83" t="n">
        <x:f>IF(A642=0,D642,MIN(Control!$B$17,D642+F642))</x:f>
        <x:v>360.9153144222891</x:v>
      </x:c>
      <x:c r="H642" s="73" t="n">
        <x:f>MOD(INT(G642)-1,Control!$B$7)+1</x:f>
        <x:v>92</x:v>
      </x:c>
      <x:c r="I642" s="73" t="n">
        <x:f>MIN(Control!$B$6,MAX(1,INT(MAX(0,G642)/Control!$B$7)+1))</x:f>
        <x:v>3</x:v>
      </x:c>
      <x:c r="J642" s="73" t="n">
        <x:f>INDEX(Drivers!$H$8:$H$13,B642)</x:f>
        <x:v>1</x:v>
      </x:c>
      <x:c r="K642" s="73" t="n">
        <x:f>IF(J642=1,INDEX(TrackMap!$I$8:$I$141,H642),INDEX(TrackMap!$L$8:$L$141,H642))</x:f>
        <x:v>2152</x:v>
      </x:c>
      <x:c r="L642" s="73" t="str">
        <x:f>INDEX(TrackMap!$F$8:$F$141,H642)</x:f>
        <x:v>↓</x:v>
      </x:c>
      <x:c r="M642" s="87" t="n">
        <x:f>MAX(0,G642/Control!$B$17)</x:f>
        <x:v>0.5386795737646106</x:v>
      </x:c>
      <x:c r="N642" s="73" t="n">
        <x:f>IF(N636&gt;0,N636,IF(G642&gt;=Control!$B$17,A642,0))</x:f>
        <x:v>0</x:v>
      </x:c>
      <x:c r="O642" s="91" t="n">
        <x:f>IF(N642&gt;0,Control!$B$17+Control!$B$8+1-N642,G642)-B642/100000</x:f>
        <x:v>360.9152644222891</x:v>
      </x:c>
      <x:c r="P642" s="73" t="n">
        <x:f>COUNTIF($O$638:$O$643,"&gt;"&amp;O642)+1</x:f>
        <x:v>2</x:v>
      </x:c>
      <x:c r="Q642" s="83" t="n">
        <x:f>MAX($G$638:$G$643)-G642</x:f>
        <x:v>2.4358059970805357</x:v>
      </x:c>
      <x:c r="R642" s="73" t="str">
        <x:f>INDEX(TrackMap!$B$8:$B$141,H642)</x:f>
        <x:v>东侧长直道</x:v>
      </x:c>
    </x:row>
    <x:row r="643" ht="20" customHeight="1">
      <x:c r="A643" s="73" t="n">
        <x:v>105</x:v>
      </x:c>
      <x:c r="B643" s="73" t="n">
        <x:v>6</x:v>
      </x:c>
      <x:c r="C643" s="73" t="str">
        <x:f>INDEX(Drivers!$B$8:$B$13,B643)</x:f>
        <x:v>玫速</x:v>
      </x:c>
      <x:c r="D643" s="83" t="n">
        <x:f>G637</x:f>
        <x:v>357.45586941240657</x:v>
      </x:c>
      <x:c r="E643" s="83" t="str">
        <x:f>IF(A643=0,"GRID",IF(D643&gt;=Control!$B$17,"FINISHED",IF(AND(A643&gt;=INDEX(Drivers!$G$8:$G$13,B643),A643&lt;INDEX(Drivers!$G$8:$G$13,B643)+INDEX(Drivers!$J$8:$J$13,B643)),"PIT",IF(MOD(A643+INDEX(Drivers!$F$8:$F$13,B643),Control!$B$11)&lt;Control!$B$13,"BOOST","RACE"))))</x:f>
        <x:v>RACE</x:v>
      </x:c>
      <x:c r="F643" s="83" t="n">
        <x:f>IF(OR(E643="GRID",E643="FINISHED",E643="PIT"),0,MAX(Control!$B$15,(INDEX(Drivers!$D$8:$D$13,B643)+INDEX(Drivers!$E$8:$E$13,B643)*SIN((A643+INDEX(Drivers!$F$8:$F$13,B643)+Control!$B$16)*Control!$B$14))*INDEX(TrackMap!$M$8:$M$141,MOD(INT(D643)-1,Control!$B$7)+1)*IF(E643="BOOST",Control!$B$12,1)))</x:f>
        <x:v>3.183005369259413</x:v>
      </x:c>
      <x:c r="G643" s="83" t="n">
        <x:f>IF(A643=0,D643,MIN(Control!$B$17,D643+F643))</x:f>
        <x:v>360.638874781666</x:v>
      </x:c>
      <x:c r="H643" s="73" t="n">
        <x:f>MOD(INT(G643)-1,Control!$B$7)+1</x:f>
        <x:v>92</x:v>
      </x:c>
      <x:c r="I643" s="73" t="n">
        <x:f>MIN(Control!$B$6,MAX(1,INT(MAX(0,G643)/Control!$B$7)+1))</x:f>
        <x:v>3</x:v>
      </x:c>
      <x:c r="J643" s="73" t="n">
        <x:f>INDEX(Drivers!$H$8:$H$13,B643)</x:f>
        <x:v>2</x:v>
      </x:c>
      <x:c r="K643" s="73" t="n">
        <x:f>IF(J643=1,INDEX(TrackMap!$I$8:$I$141,H643),INDEX(TrackMap!$L$8:$L$141,H643))</x:f>
        <x:v>2151</x:v>
      </x:c>
      <x:c r="L643" s="73" t="str">
        <x:f>INDEX(TrackMap!$F$8:$F$141,H643)</x:f>
        <x:v>↓</x:v>
      </x:c>
      <x:c r="M643" s="87" t="n">
        <x:f>MAX(0,G643/Control!$B$17)</x:f>
        <x:v>0.5382669772860686</x:v>
      </x:c>
      <x:c r="N643" s="73" t="n">
        <x:f>IF(N637&gt;0,N637,IF(G643&gt;=Control!$B$17,A643,0))</x:f>
        <x:v>0</x:v>
      </x:c>
      <x:c r="O643" s="91" t="n">
        <x:f>IF(N643&gt;0,Control!$B$17+Control!$B$8+1-N643,G643)-B643/100000</x:f>
        <x:v>360.638814781666</x:v>
      </x:c>
      <x:c r="P643" s="73" t="n">
        <x:f>COUNTIF($O$638:$O$643,"&gt;"&amp;O643)+1</x:f>
        <x:v>3</x:v>
      </x:c>
      <x:c r="Q643" s="83" t="n">
        <x:f>MAX($G$638:$G$643)-G643</x:f>
        <x:v>2.7122456377036315</x:v>
      </x:c>
      <x:c r="R643" s="73" t="str">
        <x:f>INDEX(TrackMap!$B$8:$B$141,H643)</x:f>
        <x:v>东侧长直道</x:v>
      </x:c>
    </x:row>
    <x:row r="644" ht="20" customHeight="1">
      <x:c r="A644" s="73" t="n">
        <x:v>106</x:v>
      </x:c>
      <x:c r="B644" s="73" t="n">
        <x:v>1</x:v>
      </x:c>
      <x:c r="C644" s="73" t="str">
        <x:f>INDEX(Drivers!$B$8:$B$13,B644)</x:f>
        <x:v>赤焰</x:v>
      </x:c>
      <x:c r="D644" s="83" t="n">
        <x:f>G638</x:f>
        <x:v>353.7675756458023</x:v>
      </x:c>
      <x:c r="E644" s="83" t="str">
        <x:f>IF(A644=0,"GRID",IF(D644&gt;=Control!$B$17,"FINISHED",IF(AND(A644&gt;=INDEX(Drivers!$G$8:$G$13,B644),A644&lt;INDEX(Drivers!$G$8:$G$13,B644)+INDEX(Drivers!$J$8:$J$13,B644)),"PIT",IF(MOD(A644+INDEX(Drivers!$F$8:$F$13,B644),Control!$B$11)&lt;Control!$B$13,"BOOST","RACE"))))</x:f>
        <x:v>RACE</x:v>
      </x:c>
      <x:c r="F644" s="83" t="n">
        <x:f>IF(OR(E644="GRID",E644="FINISHED",E644="PIT"),0,MAX(Control!$B$15,(INDEX(Drivers!$D$8:$D$13,B644)+INDEX(Drivers!$E$8:$E$13,B644)*SIN((A644+INDEX(Drivers!$F$8:$F$13,B644)+Control!$B$16)*Control!$B$14))*INDEX(TrackMap!$M$8:$M$141,MOD(INT(D644)-1,Control!$B$7)+1)*IF(E644="BOOST",Control!$B$12,1)))</x:f>
        <x:v>3.8731140321054345</x:v>
      </x:c>
      <x:c r="G644" s="83" t="n">
        <x:f>IF(A644=0,D644,MIN(Control!$B$17,D644+F644))</x:f>
        <x:v>357.64068967790774</x:v>
      </x:c>
      <x:c r="H644" s="73" t="n">
        <x:f>MOD(INT(G644)-1,Control!$B$7)+1</x:f>
        <x:v>89</x:v>
      </x:c>
      <x:c r="I644" s="73" t="n">
        <x:f>MIN(Control!$B$6,MAX(1,INT(MAX(0,G644)/Control!$B$7)+1))</x:f>
        <x:v>3</x:v>
      </x:c>
      <x:c r="J644" s="73" t="n">
        <x:f>INDEX(Drivers!$H$8:$H$13,B644)</x:f>
        <x:v>1</x:v>
      </x:c>
      <x:c r="K644" s="73" t="n">
        <x:f>IF(J644=1,INDEX(TrackMap!$I$8:$I$141,H644),INDEX(TrackMap!$L$8:$L$141,H644))</x:f>
        <x:v>1852</x:v>
      </x:c>
      <x:c r="L644" s="73" t="str">
        <x:f>INDEX(TrackMap!$F$8:$F$141,H644)</x:f>
        <x:v>↓</x:v>
      </x:c>
      <x:c r="M644" s="87" t="n">
        <x:f>MAX(0,G644/Control!$B$17)</x:f>
        <x:v>0.533792074146131</x:v>
      </x:c>
      <x:c r="N644" s="73" t="n">
        <x:f>IF(N638&gt;0,N638,IF(G644&gt;=Control!$B$17,A644,0))</x:f>
        <x:v>0</x:v>
      </x:c>
      <x:c r="O644" s="91" t="n">
        <x:f>IF(N644&gt;0,Control!$B$17+Control!$B$8+1-N644,G644)-B644/100000</x:f>
        <x:v>357.64067967790777</x:v>
      </x:c>
      <x:c r="P644" s="73" t="n">
        <x:f>COUNTIF($O$644:$O$649,"&gt;"&amp;O644)+1</x:f>
        <x:v>6</x:v>
      </x:c>
      <x:c r="Q644" s="83" t="n">
        <x:f>MAX($G$644:$G$649)-G644</x:f>
        <x:v>9.093907460412822</x:v>
      </x:c>
      <x:c r="R644" s="73" t="str">
        <x:f>INDEX(TrackMap!$B$8:$B$141,H644)</x:f>
        <x:v>东侧长直道</x:v>
      </x:c>
    </x:row>
    <x:row r="645" ht="20" customHeight="1">
      <x:c r="A645" s="73" t="n">
        <x:v>106</x:v>
      </x:c>
      <x:c r="B645" s="73" t="n">
        <x:v>2</x:v>
      </x:c>
      <x:c r="C645" s="73" t="str">
        <x:f>INDEX(Drivers!$B$8:$B$13,B645)</x:f>
        <x:v>蓝电</x:v>
      </x:c>
      <x:c r="D645" s="83" t="n">
        <x:f>G639</x:f>
        <x:v>358.91904608630466</x:v>
      </x:c>
      <x:c r="E645" s="83" t="str">
        <x:f>IF(A645=0,"GRID",IF(D645&gt;=Control!$B$17,"FINISHED",IF(AND(A645&gt;=INDEX(Drivers!$G$8:$G$13,B645),A645&lt;INDEX(Drivers!$G$8:$G$13,B645)+INDEX(Drivers!$J$8:$J$13,B645)),"PIT",IF(MOD(A645+INDEX(Drivers!$F$8:$F$13,B645),Control!$B$11)&lt;Control!$B$13,"BOOST","RACE"))))</x:f>
        <x:v>RACE</x:v>
      </x:c>
      <x:c r="F645" s="83" t="n">
        <x:f>IF(OR(E645="GRID",E645="FINISHED",E645="PIT"),0,MAX(Control!$B$15,(INDEX(Drivers!$D$8:$D$13,B645)+INDEX(Drivers!$E$8:$E$13,B645)*SIN((A645+INDEX(Drivers!$F$8:$F$13,B645)+Control!$B$16)*Control!$B$14))*INDEX(TrackMap!$M$8:$M$141,MOD(INT(D645)-1,Control!$B$7)+1)*IF(E645="BOOST",Control!$B$12,1)))</x:f>
        <x:v>3.660094080066199</x:v>
      </x:c>
      <x:c r="G645" s="83" t="n">
        <x:f>IF(A645=0,D645,MIN(Control!$B$17,D645+F645))</x:f>
        <x:v>362.57914016637085</x:v>
      </x:c>
      <x:c r="H645" s="73" t="n">
        <x:f>MOD(INT(G645)-1,Control!$B$7)+1</x:f>
        <x:v>94</x:v>
      </x:c>
      <x:c r="I645" s="73" t="n">
        <x:f>MIN(Control!$B$6,MAX(1,INT(MAX(0,G645)/Control!$B$7)+1))</x:f>
        <x:v>3</x:v>
      </x:c>
      <x:c r="J645" s="73" t="n">
        <x:f>INDEX(Drivers!$H$8:$H$13,B645)</x:f>
        <x:v>2</x:v>
      </x:c>
      <x:c r="K645" s="73" t="n">
        <x:f>IF(J645=1,INDEX(TrackMap!$I$8:$I$141,H645),INDEX(TrackMap!$L$8:$L$141,H645))</x:f>
        <x:v>2351</x:v>
      </x:c>
      <x:c r="L645" s="73" t="str">
        <x:f>INDEX(TrackMap!$F$8:$F$141,H645)</x:f>
        <x:v>↓</x:v>
      </x:c>
      <x:c r="M645" s="87" t="n">
        <x:f>MAX(0,G645/Control!$B$17)</x:f>
        <x:v>0.5411628957707028</x:v>
      </x:c>
      <x:c r="N645" s="73" t="n">
        <x:f>IF(N639&gt;0,N639,IF(G645&gt;=Control!$B$17,A645,0))</x:f>
        <x:v>0</x:v>
      </x:c>
      <x:c r="O645" s="91" t="n">
        <x:f>IF(N645&gt;0,Control!$B$17+Control!$B$8+1-N645,G645)-B645/100000</x:f>
        <x:v>362.57912016637084</x:v>
      </x:c>
      <x:c r="P645" s="73" t="n">
        <x:f>COUNTIF($O$644:$O$649,"&gt;"&amp;O645)+1</x:f>
        <x:v>4</x:v>
      </x:c>
      <x:c r="Q645" s="83" t="n">
        <x:f>MAX($G$644:$G$649)-G645</x:f>
        <x:v>4.155456971949718</x:v>
      </x:c>
      <x:c r="R645" s="73" t="str">
        <x:f>INDEX(TrackMap!$B$8:$B$141,H645)</x:f>
        <x:v>东侧长直道</x:v>
      </x:c>
    </x:row>
    <x:row r="646" ht="20" customHeight="1">
      <x:c r="A646" s="73" t="n">
        <x:v>106</x:v>
      </x:c>
      <x:c r="B646" s="73" t="n">
        <x:v>3</x:v>
      </x:c>
      <x:c r="C646" s="73" t="str">
        <x:f>INDEX(Drivers!$B$8:$B$13,B646)</x:f>
        <x:v>金翼</x:v>
      </x:c>
      <x:c r="D646" s="83" t="n">
        <x:f>G640</x:f>
        <x:v>363.35112041936964</x:v>
      </x:c>
      <x:c r="E646" s="83" t="str">
        <x:f>IF(A646=0,"GRID",IF(D646&gt;=Control!$B$17,"FINISHED",IF(AND(A646&gt;=INDEX(Drivers!$G$8:$G$13,B646),A646&lt;INDEX(Drivers!$G$8:$G$13,B646)+INDEX(Drivers!$J$8:$J$13,B646)),"PIT",IF(MOD(A646+INDEX(Drivers!$F$8:$F$13,B646),Control!$B$11)&lt;Control!$B$13,"BOOST","RACE"))))</x:f>
        <x:v>RACE</x:v>
      </x:c>
      <x:c r="F646" s="83" t="n">
        <x:f>IF(OR(E646="GRID",E646="FINISHED",E646="PIT"),0,MAX(Control!$B$15,(INDEX(Drivers!$D$8:$D$13,B646)+INDEX(Drivers!$E$8:$E$13,B646)*SIN((A646+INDEX(Drivers!$F$8:$F$13,B646)+Control!$B$16)*Control!$B$14))*INDEX(TrackMap!$M$8:$M$141,MOD(INT(D646)-1,Control!$B$7)+1)*IF(E646="BOOST",Control!$B$12,1)))</x:f>
        <x:v>3.383476718950922</x:v>
      </x:c>
      <x:c r="G646" s="83" t="n">
        <x:f>IF(A646=0,D646,MIN(Control!$B$17,D646+F646))</x:f>
        <x:v>366.73459713832057</x:v>
      </x:c>
      <x:c r="H646" s="73" t="n">
        <x:f>MOD(INT(G646)-1,Control!$B$7)+1</x:f>
        <x:v>98</x:v>
      </x:c>
      <x:c r="I646" s="73" t="n">
        <x:f>MIN(Control!$B$6,MAX(1,INT(MAX(0,G646)/Control!$B$7)+1))</x:f>
        <x:v>3</x:v>
      </x:c>
      <x:c r="J646" s="73" t="n">
        <x:f>INDEX(Drivers!$H$8:$H$13,B646)</x:f>
        <x:v>1</x:v>
      </x:c>
      <x:c r="K646" s="73" t="n">
        <x:f>IF(J646=1,INDEX(TrackMap!$I$8:$I$141,H646),INDEX(TrackMap!$L$8:$L$141,H646))</x:f>
        <x:v>2752</x:v>
      </x:c>
      <x:c r="L646" s="73" t="str">
        <x:f>INDEX(TrackMap!$F$8:$F$141,H646)</x:f>
        <x:v>↓</x:v>
      </x:c>
      <x:c r="M646" s="87" t="n">
        <x:f>MAX(0,G646/Control!$B$17)</x:f>
        <x:v>0.5473650703557024</x:v>
      </x:c>
      <x:c r="N646" s="73" t="n">
        <x:f>IF(N640&gt;0,N640,IF(G646&gt;=Control!$B$17,A646,0))</x:f>
        <x:v>0</x:v>
      </x:c>
      <x:c r="O646" s="91" t="n">
        <x:f>IF(N646&gt;0,Control!$B$17+Control!$B$8+1-N646,G646)-B646/100000</x:f>
        <x:v>366.7345671383206</x:v>
      </x:c>
      <x:c r="P646" s="73" t="n">
        <x:f>COUNTIF($O$644:$O$649,"&gt;"&amp;O646)+1</x:f>
        <x:v>1</x:v>
      </x:c>
      <x:c r="Q646" s="83" t="n">
        <x:f>MAX($G$644:$G$649)-G646</x:f>
        <x:v>0</x:v>
      </x:c>
      <x:c r="R646" s="73" t="str">
        <x:f>INDEX(TrackMap!$B$8:$B$141,H646)</x:f>
        <x:v>东侧长直道</x:v>
      </x:c>
    </x:row>
    <x:row r="647" ht="20" customHeight="1">
      <x:c r="A647" s="73" t="n">
        <x:v>106</x:v>
      </x:c>
      <x:c r="B647" s="73" t="n">
        <x:v>4</x:v>
      </x:c>
      <x:c r="C647" s="73" t="str">
        <x:f>INDEX(Drivers!$B$8:$B$13,B647)</x:f>
        <x:v>紫影</x:v>
      </x:c>
      <x:c r="D647" s="83" t="n">
        <x:f>G641</x:f>
        <x:v>359.4472921376545</x:v>
      </x:c>
      <x:c r="E647" s="83" t="str">
        <x:f>IF(A647=0,"GRID",IF(D647&gt;=Control!$B$17,"FINISHED",IF(AND(A647&gt;=INDEX(Drivers!$G$8:$G$13,B647),A647&lt;INDEX(Drivers!$G$8:$G$13,B647)+INDEX(Drivers!$J$8:$J$13,B647)),"PIT",IF(MOD(A647+INDEX(Drivers!$F$8:$F$13,B647),Control!$B$11)&lt;Control!$B$13,"BOOST","RACE"))))</x:f>
        <x:v>PIT</x:v>
      </x:c>
      <x:c r="F647" s="83" t="n">
        <x:f>IF(OR(E647="GRID",E647="FINISHED",E647="PIT"),0,MAX(Control!$B$15,(INDEX(Drivers!$D$8:$D$13,B647)+INDEX(Drivers!$E$8:$E$13,B647)*SIN((A647+INDEX(Drivers!$F$8:$F$13,B647)+Control!$B$16)*Control!$B$14))*INDEX(TrackMap!$M$8:$M$141,MOD(INT(D647)-1,Control!$B$7)+1)*IF(E647="BOOST",Control!$B$12,1)))</x:f>
        <x:v>0</x:v>
      </x:c>
      <x:c r="G647" s="83" t="n">
        <x:f>IF(A647=0,D647,MIN(Control!$B$17,D647+F647))</x:f>
        <x:v>359.4472921376545</x:v>
      </x:c>
      <x:c r="H647" s="73" t="n">
        <x:f>MOD(INT(G647)-1,Control!$B$7)+1</x:f>
        <x:v>91</x:v>
      </x:c>
      <x:c r="I647" s="73" t="n">
        <x:f>MIN(Control!$B$6,MAX(1,INT(MAX(0,G647)/Control!$B$7)+1))</x:f>
        <x:v>3</x:v>
      </x:c>
      <x:c r="J647" s="73" t="n">
        <x:f>INDEX(Drivers!$H$8:$H$13,B647)</x:f>
        <x:v>2</x:v>
      </x:c>
      <x:c r="K647" s="73" t="n">
        <x:f>IF(J647=1,INDEX(TrackMap!$I$8:$I$141,H647),INDEX(TrackMap!$L$8:$L$141,H647))</x:f>
        <x:v>2051</x:v>
      </x:c>
      <x:c r="L647" s="73" t="str">
        <x:f>INDEX(TrackMap!$F$8:$F$141,H647)</x:f>
        <x:v>↓</x:v>
      </x:c>
      <x:c r="M647" s="87" t="n">
        <x:f>MAX(0,G647/Control!$B$17)</x:f>
        <x:v>0.5364884957278425</x:v>
      </x:c>
      <x:c r="N647" s="73" t="n">
        <x:f>IF(N641&gt;0,N641,IF(G647&gt;=Control!$B$17,A647,0))</x:f>
        <x:v>0</x:v>
      </x:c>
      <x:c r="O647" s="91" t="n">
        <x:f>IF(N647&gt;0,Control!$B$17+Control!$B$8+1-N647,G647)-B647/100000</x:f>
        <x:v>359.44725213765446</x:v>
      </x:c>
      <x:c r="P647" s="73" t="n">
        <x:f>COUNTIF($O$644:$O$649,"&gt;"&amp;O647)+1</x:f>
        <x:v>5</x:v>
      </x:c>
      <x:c r="Q647" s="83" t="n">
        <x:f>MAX($G$644:$G$649)-G647</x:f>
        <x:v>7.287305000666095</x:v>
      </x:c>
      <x:c r="R647" s="73" t="str">
        <x:f>INDEX(TrackMap!$B$8:$B$141,H647)</x:f>
        <x:v>东侧长直道</x:v>
      </x:c>
    </x:row>
    <x:row r="648" ht="20" customHeight="1">
      <x:c r="A648" s="73" t="n">
        <x:v>106</x:v>
      </x:c>
      <x:c r="B648" s="73" t="n">
        <x:v>5</x:v>
      </x:c>
      <x:c r="C648" s="73" t="str">
        <x:f>INDEX(Drivers!$B$8:$B$13,B648)</x:f>
        <x:v>青锋</x:v>
      </x:c>
      <x:c r="D648" s="83" t="n">
        <x:f>G642</x:f>
        <x:v>360.9153144222891</x:v>
      </x:c>
      <x:c r="E648" s="83" t="str">
        <x:f>IF(A648=0,"GRID",IF(D648&gt;=Control!$B$17,"FINISHED",IF(AND(A648&gt;=INDEX(Drivers!$G$8:$G$13,B648),A648&lt;INDEX(Drivers!$G$8:$G$13,B648)+INDEX(Drivers!$J$8:$J$13,B648)),"PIT",IF(MOD(A648+INDEX(Drivers!$F$8:$F$13,B648),Control!$B$11)&lt;Control!$B$13,"BOOST","RACE"))))</x:f>
        <x:v>RACE</x:v>
      </x:c>
      <x:c r="F648" s="83" t="n">
        <x:f>IF(OR(E648="GRID",E648="FINISHED",E648="PIT"),0,MAX(Control!$B$15,(INDEX(Drivers!$D$8:$D$13,B648)+INDEX(Drivers!$E$8:$E$13,B648)*SIN((A648+INDEX(Drivers!$F$8:$F$13,B648)+Control!$B$16)*Control!$B$14))*INDEX(TrackMap!$M$8:$M$141,MOD(INT(D648)-1,Control!$B$7)+1)*IF(E648="BOOST",Control!$B$12,1)))</x:f>
        <x:v>4.122460922190573</x:v>
      </x:c>
      <x:c r="G648" s="83" t="n">
        <x:f>IF(A648=0,D648,MIN(Control!$B$17,D648+F648))</x:f>
        <x:v>365.03777534447966</x:v>
      </x:c>
      <x:c r="H648" s="73" t="n">
        <x:f>MOD(INT(G648)-1,Control!$B$7)+1</x:f>
        <x:v>97</x:v>
      </x:c>
      <x:c r="I648" s="73" t="n">
        <x:f>MIN(Control!$B$6,MAX(1,INT(MAX(0,G648)/Control!$B$7)+1))</x:f>
        <x:v>3</x:v>
      </x:c>
      <x:c r="J648" s="73" t="n">
        <x:f>INDEX(Drivers!$H$8:$H$13,B648)</x:f>
        <x:v>1</x:v>
      </x:c>
      <x:c r="K648" s="73" t="n">
        <x:f>IF(J648=1,INDEX(TrackMap!$I$8:$I$141,H648),INDEX(TrackMap!$L$8:$L$141,H648))</x:f>
        <x:v>2652</x:v>
      </x:c>
      <x:c r="L648" s="73" t="str">
        <x:f>INDEX(TrackMap!$F$8:$F$141,H648)</x:f>
        <x:v>↓</x:v>
      </x:c>
      <x:c r="M648" s="87" t="n">
        <x:f>MAX(0,G648/Control!$B$17)</x:f>
        <x:v>0.5448325005141488</x:v>
      </x:c>
      <x:c r="N648" s="73" t="n">
        <x:f>IF(N642&gt;0,N642,IF(G648&gt;=Control!$B$17,A648,0))</x:f>
        <x:v>0</x:v>
      </x:c>
      <x:c r="O648" s="91" t="n">
        <x:f>IF(N648&gt;0,Control!$B$17+Control!$B$8+1-N648,G648)-B648/100000</x:f>
        <x:v>365.03772534447967</x:v>
      </x:c>
      <x:c r="P648" s="73" t="n">
        <x:f>COUNTIF($O$644:$O$649,"&gt;"&amp;O648)+1</x:f>
        <x:v>2</x:v>
      </x:c>
      <x:c r="Q648" s="83" t="n">
        <x:f>MAX($G$644:$G$649)-G648</x:f>
        <x:v>1.6968217938409111</x:v>
      </x:c>
      <x:c r="R648" s="73" t="str">
        <x:f>INDEX(TrackMap!$B$8:$B$141,H648)</x:f>
        <x:v>东侧长直道</x:v>
      </x:c>
    </x:row>
    <x:row r="649" ht="20" customHeight="1">
      <x:c r="A649" s="73" t="n">
        <x:v>106</x:v>
      </x:c>
      <x:c r="B649" s="73" t="n">
        <x:v>6</x:v>
      </x:c>
      <x:c r="C649" s="73" t="str">
        <x:f>INDEX(Drivers!$B$8:$B$13,B649)</x:f>
        <x:v>玫速</x:v>
      </x:c>
      <x:c r="D649" s="83" t="n">
        <x:f>G643</x:f>
        <x:v>360.638874781666</x:v>
      </x:c>
      <x:c r="E649" s="83" t="str">
        <x:f>IF(A649=0,"GRID",IF(D649&gt;=Control!$B$17,"FINISHED",IF(AND(A649&gt;=INDEX(Drivers!$G$8:$G$13,B649),A649&lt;INDEX(Drivers!$G$8:$G$13,B649)+INDEX(Drivers!$J$8:$J$13,B649)),"PIT",IF(MOD(A649+INDEX(Drivers!$F$8:$F$13,B649),Control!$B$11)&lt;Control!$B$13,"BOOST","RACE"))))</x:f>
        <x:v>RACE</x:v>
      </x:c>
      <x:c r="F649" s="83" t="n">
        <x:f>IF(OR(E649="GRID",E649="FINISHED",E649="PIT"),0,MAX(Control!$B$15,(INDEX(Drivers!$D$8:$D$13,B649)+INDEX(Drivers!$E$8:$E$13,B649)*SIN((A649+INDEX(Drivers!$F$8:$F$13,B649)+Control!$B$16)*Control!$B$14))*INDEX(TrackMap!$M$8:$M$141,MOD(INT(D649)-1,Control!$B$7)+1)*IF(E649="BOOST",Control!$B$12,1)))</x:f>
        <x:v>3.09508154881816</x:v>
      </x:c>
      <x:c r="G649" s="83" t="n">
        <x:f>IF(A649=0,D649,MIN(Control!$B$17,D649+F649))</x:f>
        <x:v>363.73395633048415</x:v>
      </x:c>
      <x:c r="H649" s="73" t="n">
        <x:f>MOD(INT(G649)-1,Control!$B$7)+1</x:f>
        <x:v>95</x:v>
      </x:c>
      <x:c r="I649" s="73" t="n">
        <x:f>MIN(Control!$B$6,MAX(1,INT(MAX(0,G649)/Control!$B$7)+1))</x:f>
        <x:v>3</x:v>
      </x:c>
      <x:c r="J649" s="73" t="n">
        <x:f>INDEX(Drivers!$H$8:$H$13,B649)</x:f>
        <x:v>2</x:v>
      </x:c>
      <x:c r="K649" s="73" t="n">
        <x:f>IF(J649=1,INDEX(TrackMap!$I$8:$I$141,H649),INDEX(TrackMap!$L$8:$L$141,H649))</x:f>
        <x:v>2451</x:v>
      </x:c>
      <x:c r="L649" s="73" t="str">
        <x:f>INDEX(TrackMap!$F$8:$F$141,H649)</x:f>
        <x:v>↓</x:v>
      </x:c>
      <x:c r="M649" s="87" t="n">
        <x:f>MAX(0,G649/Control!$B$17)</x:f>
        <x:v>0.5428865019857972</x:v>
      </x:c>
      <x:c r="N649" s="73" t="n">
        <x:f>IF(N643&gt;0,N643,IF(G649&gt;=Control!$B$17,A649,0))</x:f>
        <x:v>0</x:v>
      </x:c>
      <x:c r="O649" s="91" t="n">
        <x:f>IF(N649&gt;0,Control!$B$17+Control!$B$8+1-N649,G649)-B649/100000</x:f>
        <x:v>363.73389633048413</x:v>
      </x:c>
      <x:c r="P649" s="73" t="n">
        <x:f>COUNTIF($O$644:$O$649,"&gt;"&amp;O649)+1</x:f>
        <x:v>3</x:v>
      </x:c>
      <x:c r="Q649" s="83" t="n">
        <x:f>MAX($G$644:$G$649)-G649</x:f>
        <x:v>3.000640807836419</x:v>
      </x:c>
      <x:c r="R649" s="73" t="str">
        <x:f>INDEX(TrackMap!$B$8:$B$141,H649)</x:f>
        <x:v>东侧长直道</x:v>
      </x:c>
    </x:row>
    <x:row r="650" ht="20" customHeight="1">
      <x:c r="A650" s="73" t="n">
        <x:v>107</x:v>
      </x:c>
      <x:c r="B650" s="73" t="n">
        <x:v>1</x:v>
      </x:c>
      <x:c r="C650" s="73" t="str">
        <x:f>INDEX(Drivers!$B$8:$B$13,B650)</x:f>
        <x:v>赤焰</x:v>
      </x:c>
      <x:c r="D650" s="83" t="n">
        <x:f>G644</x:f>
        <x:v>357.64068967790774</x:v>
      </x:c>
      <x:c r="E650" s="83" t="str">
        <x:f>IF(A650=0,"GRID",IF(D650&gt;=Control!$B$17,"FINISHED",IF(AND(A650&gt;=INDEX(Drivers!$G$8:$G$13,B650),A650&lt;INDEX(Drivers!$G$8:$G$13,B650)+INDEX(Drivers!$J$8:$J$13,B650)),"PIT",IF(MOD(A650+INDEX(Drivers!$F$8:$F$13,B650),Control!$B$11)&lt;Control!$B$13,"BOOST","RACE"))))</x:f>
        <x:v>RACE</x:v>
      </x:c>
      <x:c r="F650" s="83" t="n">
        <x:f>IF(OR(E650="GRID",E650="FINISHED",E650="PIT"),0,MAX(Control!$B$15,(INDEX(Drivers!$D$8:$D$13,B650)+INDEX(Drivers!$E$8:$E$13,B650)*SIN((A650+INDEX(Drivers!$F$8:$F$13,B650)+Control!$B$16)*Control!$B$14))*INDEX(TrackMap!$M$8:$M$141,MOD(INT(D650)-1,Control!$B$7)+1)*IF(E650="BOOST",Control!$B$12,1)))</x:f>
        <x:v>4.03980400863869</x:v>
      </x:c>
      <x:c r="G650" s="83" t="n">
        <x:f>IF(A650=0,D650,MIN(Control!$B$17,D650+F650))</x:f>
        <x:v>361.6804936865464</x:v>
      </x:c>
      <x:c r="H650" s="73" t="n">
        <x:f>MOD(INT(G650)-1,Control!$B$7)+1</x:f>
        <x:v>93</x:v>
      </x:c>
      <x:c r="I650" s="73" t="n">
        <x:f>MIN(Control!$B$6,MAX(1,INT(MAX(0,G650)/Control!$B$7)+1))</x:f>
        <x:v>3</x:v>
      </x:c>
      <x:c r="J650" s="73" t="n">
        <x:f>INDEX(Drivers!$H$8:$H$13,B650)</x:f>
        <x:v>1</x:v>
      </x:c>
      <x:c r="K650" s="73" t="n">
        <x:f>IF(J650=1,INDEX(TrackMap!$I$8:$I$141,H650),INDEX(TrackMap!$L$8:$L$141,H650))</x:f>
        <x:v>2252</x:v>
      </x:c>
      <x:c r="L650" s="73" t="str">
        <x:f>INDEX(TrackMap!$F$8:$F$141,H650)</x:f>
        <x:v>↓</x:v>
      </x:c>
      <x:c r="M650" s="87" t="n">
        <x:f>MAX(0,G650/Control!$B$17)</x:f>
        <x:v>0.5398216323679798</x:v>
      </x:c>
      <x:c r="N650" s="73" t="n">
        <x:f>IF(N644&gt;0,N644,IF(G650&gt;=Control!$B$17,A650,0))</x:f>
        <x:v>0</x:v>
      </x:c>
      <x:c r="O650" s="91" t="n">
        <x:f>IF(N650&gt;0,Control!$B$17+Control!$B$8+1-N650,G650)-B650/100000</x:f>
        <x:v>361.68048368654644</x:v>
      </x:c>
      <x:c r="P650" s="73" t="n">
        <x:f>COUNTIF($O$650:$O$655,"&gt;"&amp;O650)+1</x:f>
        <x:v>5</x:v>
      </x:c>
      <x:c r="Q650" s="83" t="n">
        <x:f>MAX($G$650:$G$655)-G650</x:f>
        <x:v>9.839667722867091</x:v>
      </x:c>
      <x:c r="R650" s="73" t="str">
        <x:f>INDEX(TrackMap!$B$8:$B$141,H650)</x:f>
        <x:v>东侧长直道</x:v>
      </x:c>
    </x:row>
    <x:row r="651" ht="20" customHeight="1">
      <x:c r="A651" s="73" t="n">
        <x:v>107</x:v>
      </x:c>
      <x:c r="B651" s="73" t="n">
        <x:v>2</x:v>
      </x:c>
      <x:c r="C651" s="73" t="str">
        <x:f>INDEX(Drivers!$B$8:$B$13,B651)</x:f>
        <x:v>蓝电</x:v>
      </x:c>
      <x:c r="D651" s="83" t="n">
        <x:f>G645</x:f>
        <x:v>362.57914016637085</x:v>
      </x:c>
      <x:c r="E651" s="83" t="str">
        <x:f>IF(A651=0,"GRID",IF(D651&gt;=Control!$B$17,"FINISHED",IF(AND(A651&gt;=INDEX(Drivers!$G$8:$G$13,B651),A651&lt;INDEX(Drivers!$G$8:$G$13,B651)+INDEX(Drivers!$J$8:$J$13,B651)),"PIT",IF(MOD(A651+INDEX(Drivers!$F$8:$F$13,B651),Control!$B$11)&lt;Control!$B$13,"BOOST","RACE"))))</x:f>
        <x:v>RACE</x:v>
      </x:c>
      <x:c r="F651" s="83" t="n">
        <x:f>IF(OR(E651="GRID",E651="FINISHED",E651="PIT"),0,MAX(Control!$B$15,(INDEX(Drivers!$D$8:$D$13,B651)+INDEX(Drivers!$E$8:$E$13,B651)*SIN((A651+INDEX(Drivers!$F$8:$F$13,B651)+Control!$B$16)*Control!$B$14))*INDEX(TrackMap!$M$8:$M$141,MOD(INT(D651)-1,Control!$B$7)+1)*IF(E651="BOOST",Control!$B$12,1)))</x:f>
        <x:v>3.4396464859134395</x:v>
      </x:c>
      <x:c r="G651" s="83" t="n">
        <x:f>IF(A651=0,D651,MIN(Control!$B$17,D651+F651))</x:f>
        <x:v>366.0187866522843</x:v>
      </x:c>
      <x:c r="H651" s="73" t="n">
        <x:f>MOD(INT(G651)-1,Control!$B$7)+1</x:f>
        <x:v>98</x:v>
      </x:c>
      <x:c r="I651" s="73" t="n">
        <x:f>MIN(Control!$B$6,MAX(1,INT(MAX(0,G651)/Control!$B$7)+1))</x:f>
        <x:v>3</x:v>
      </x:c>
      <x:c r="J651" s="73" t="n">
        <x:f>INDEX(Drivers!$H$8:$H$13,B651)</x:f>
        <x:v>2</x:v>
      </x:c>
      <x:c r="K651" s="73" t="n">
        <x:f>IF(J651=1,INDEX(TrackMap!$I$8:$I$141,H651),INDEX(TrackMap!$L$8:$L$141,H651))</x:f>
        <x:v>2751</x:v>
      </x:c>
      <x:c r="L651" s="73" t="str">
        <x:f>INDEX(TrackMap!$F$8:$F$141,H651)</x:f>
        <x:v>↓</x:v>
      </x:c>
      <x:c r="M651" s="87" t="n">
        <x:f>MAX(0,G651/Control!$B$17)</x:f>
        <x:v>0.5462966964959467</x:v>
      </x:c>
      <x:c r="N651" s="73" t="n">
        <x:f>IF(N645&gt;0,N645,IF(G651&gt;=Control!$B$17,A651,0))</x:f>
        <x:v>0</x:v>
      </x:c>
      <x:c r="O651" s="91" t="n">
        <x:f>IF(N651&gt;0,Control!$B$17+Control!$B$8+1-N651,G651)-B651/100000</x:f>
        <x:v>366.0187666522843</x:v>
      </x:c>
      <x:c r="P651" s="73" t="n">
        <x:f>COUNTIF($O$650:$O$655,"&gt;"&amp;O651)+1</x:f>
        <x:v>4</x:v>
      </x:c>
      <x:c r="Q651" s="83" t="n">
        <x:f>MAX($G$650:$G$655)-G651</x:f>
        <x:v>5.501374757129213</x:v>
      </x:c>
      <x:c r="R651" s="73" t="str">
        <x:f>INDEX(TrackMap!$B$8:$B$141,H651)</x:f>
        <x:v>东侧长直道</x:v>
      </x:c>
    </x:row>
    <x:row r="652" ht="20" customHeight="1">
      <x:c r="A652" s="73" t="n">
        <x:v>107</x:v>
      </x:c>
      <x:c r="B652" s="73" t="n">
        <x:v>3</x:v>
      </x:c>
      <x:c r="C652" s="73" t="str">
        <x:f>INDEX(Drivers!$B$8:$B$13,B652)</x:f>
        <x:v>金翼</x:v>
      </x:c>
      <x:c r="D652" s="83" t="n">
        <x:f>G646</x:f>
        <x:v>366.73459713832057</x:v>
      </x:c>
      <x:c r="E652" s="83" t="str">
        <x:f>IF(A652=0,"GRID",IF(D652&gt;=Control!$B$17,"FINISHED",IF(AND(A652&gt;=INDEX(Drivers!$G$8:$G$13,B652),A652&lt;INDEX(Drivers!$G$8:$G$13,B652)+INDEX(Drivers!$J$8:$J$13,B652)),"PIT",IF(MOD(A652+INDEX(Drivers!$F$8:$F$13,B652),Control!$B$11)&lt;Control!$B$13,"BOOST","RACE"))))</x:f>
        <x:v>BOOST</x:v>
      </x:c>
      <x:c r="F652" s="83" t="n">
        <x:f>IF(OR(E652="GRID",E652="FINISHED",E652="PIT"),0,MAX(Control!$B$15,(INDEX(Drivers!$D$8:$D$13,B652)+INDEX(Drivers!$E$8:$E$13,B652)*SIN((A652+INDEX(Drivers!$F$8:$F$13,B652)+Control!$B$16)*Control!$B$14))*INDEX(TrackMap!$M$8:$M$141,MOD(INT(D652)-1,Control!$B$7)+1)*IF(E652="BOOST",Control!$B$12,1)))</x:f>
        <x:v>4.785564271092965</x:v>
      </x:c>
      <x:c r="G652" s="83" t="n">
        <x:f>IF(A652=0,D652,MIN(Control!$B$17,D652+F652))</x:f>
        <x:v>371.5201614094135</x:v>
      </x:c>
      <x:c r="H652" s="73" t="n">
        <x:f>MOD(INT(G652)-1,Control!$B$7)+1</x:f>
        <x:v>103</x:v>
      </x:c>
      <x:c r="I652" s="73" t="n">
        <x:f>MIN(Control!$B$6,MAX(1,INT(MAX(0,G652)/Control!$B$7)+1))</x:f>
        <x:v>3</x:v>
      </x:c>
      <x:c r="J652" s="73" t="n">
        <x:f>INDEX(Drivers!$H$8:$H$13,B652)</x:f>
        <x:v>1</x:v>
      </x:c>
      <x:c r="K652" s="73" t="n">
        <x:f>IF(J652=1,INDEX(TrackMap!$I$8:$I$141,H652),INDEX(TrackMap!$L$8:$L$141,H652))</x:f>
        <x:v>3148</x:v>
      </x:c>
      <x:c r="L652" s="73" t="str">
        <x:f>INDEX(TrackMap!$F$8:$F$141,H652)</x:f>
        <x:v>←</x:v>
      </x:c>
      <x:c r="M652" s="87" t="n">
        <x:f>MAX(0,G652/Control!$B$17)</x:f>
        <x:v>0.5545077035961395</x:v>
      </x:c>
      <x:c r="N652" s="73" t="n">
        <x:f>IF(N646&gt;0,N646,IF(G652&gt;=Control!$B$17,A652,0))</x:f>
        <x:v>0</x:v>
      </x:c>
      <x:c r="O652" s="91" t="n">
        <x:f>IF(N652&gt;0,Control!$B$17+Control!$B$8+1-N652,G652)-B652/100000</x:f>
        <x:v>371.5201314094135</x:v>
      </x:c>
      <x:c r="P652" s="73" t="n">
        <x:f>COUNTIF($O$650:$O$655,"&gt;"&amp;O652)+1</x:f>
        <x:v>1</x:v>
      </x:c>
      <x:c r="Q652" s="83" t="n">
        <x:f>MAX($G$650:$G$655)-G652</x:f>
        <x:v>0</x:v>
      </x:c>
      <x:c r="R652" s="73" t="str">
        <x:f>INDEX(TrackMap!$B$8:$B$141,H652)</x:f>
        <x:v>发车大直道</x:v>
      </x:c>
    </x:row>
    <x:row r="653" ht="20" customHeight="1">
      <x:c r="A653" s="73" t="n">
        <x:v>107</x:v>
      </x:c>
      <x:c r="B653" s="73" t="n">
        <x:v>4</x:v>
      </x:c>
      <x:c r="C653" s="73" t="str">
        <x:f>INDEX(Drivers!$B$8:$B$13,B653)</x:f>
        <x:v>紫影</x:v>
      </x:c>
      <x:c r="D653" s="83" t="n">
        <x:f>G647</x:f>
        <x:v>359.4472921376545</x:v>
      </x:c>
      <x:c r="E653" s="83" t="str">
        <x:f>IF(A653=0,"GRID",IF(D653&gt;=Control!$B$17,"FINISHED",IF(AND(A653&gt;=INDEX(Drivers!$G$8:$G$13,B653),A653&lt;INDEX(Drivers!$G$8:$G$13,B653)+INDEX(Drivers!$J$8:$J$13,B653)),"PIT",IF(MOD(A653+INDEX(Drivers!$F$8:$F$13,B653),Control!$B$11)&lt;Control!$B$13,"BOOST","RACE"))))</x:f>
        <x:v>PIT</x:v>
      </x:c>
      <x:c r="F653" s="83" t="n">
        <x:f>IF(OR(E653="GRID",E653="FINISHED",E653="PIT"),0,MAX(Control!$B$15,(INDEX(Drivers!$D$8:$D$13,B653)+INDEX(Drivers!$E$8:$E$13,B653)*SIN((A653+INDEX(Drivers!$F$8:$F$13,B653)+Control!$B$16)*Control!$B$14))*INDEX(TrackMap!$M$8:$M$141,MOD(INT(D653)-1,Control!$B$7)+1)*IF(E653="BOOST",Control!$B$12,1)))</x:f>
        <x:v>0</x:v>
      </x:c>
      <x:c r="G653" s="83" t="n">
        <x:f>IF(A653=0,D653,MIN(Control!$B$17,D653+F653))</x:f>
        <x:v>359.4472921376545</x:v>
      </x:c>
      <x:c r="H653" s="73" t="n">
        <x:f>MOD(INT(G653)-1,Control!$B$7)+1</x:f>
        <x:v>91</x:v>
      </x:c>
      <x:c r="I653" s="73" t="n">
        <x:f>MIN(Control!$B$6,MAX(1,INT(MAX(0,G653)/Control!$B$7)+1))</x:f>
        <x:v>3</x:v>
      </x:c>
      <x:c r="J653" s="73" t="n">
        <x:f>INDEX(Drivers!$H$8:$H$13,B653)</x:f>
        <x:v>2</x:v>
      </x:c>
      <x:c r="K653" s="73" t="n">
        <x:f>IF(J653=1,INDEX(TrackMap!$I$8:$I$141,H653),INDEX(TrackMap!$L$8:$L$141,H653))</x:f>
        <x:v>2051</x:v>
      </x:c>
      <x:c r="L653" s="73" t="str">
        <x:f>INDEX(TrackMap!$F$8:$F$141,H653)</x:f>
        <x:v>↓</x:v>
      </x:c>
      <x:c r="M653" s="87" t="n">
        <x:f>MAX(0,G653/Control!$B$17)</x:f>
        <x:v>0.5364884957278425</x:v>
      </x:c>
      <x:c r="N653" s="73" t="n">
        <x:f>IF(N647&gt;0,N647,IF(G653&gt;=Control!$B$17,A653,0))</x:f>
        <x:v>0</x:v>
      </x:c>
      <x:c r="O653" s="91" t="n">
        <x:f>IF(N653&gt;0,Control!$B$17+Control!$B$8+1-N653,G653)-B653/100000</x:f>
        <x:v>359.44725213765446</x:v>
      </x:c>
      <x:c r="P653" s="73" t="n">
        <x:f>COUNTIF($O$650:$O$655,"&gt;"&amp;O653)+1</x:f>
        <x:v>6</x:v>
      </x:c>
      <x:c r="Q653" s="83" t="n">
        <x:f>MAX($G$650:$G$655)-G653</x:f>
        <x:v>12.072869271759032</x:v>
      </x:c>
      <x:c r="R653" s="73" t="str">
        <x:f>INDEX(TrackMap!$B$8:$B$141,H653)</x:f>
        <x:v>东侧长直道</x:v>
      </x:c>
    </x:row>
    <x:row r="654" ht="20" customHeight="1">
      <x:c r="A654" s="73" t="n">
        <x:v>107</x:v>
      </x:c>
      <x:c r="B654" s="73" t="n">
        <x:v>5</x:v>
      </x:c>
      <x:c r="C654" s="73" t="str">
        <x:f>INDEX(Drivers!$B$8:$B$13,B654)</x:f>
        <x:v>青锋</x:v>
      </x:c>
      <x:c r="D654" s="83" t="n">
        <x:f>G648</x:f>
        <x:v>365.03777534447966</x:v>
      </x:c>
      <x:c r="E654" s="83" t="str">
        <x:f>IF(A654=0,"GRID",IF(D654&gt;=Control!$B$17,"FINISHED",IF(AND(A654&gt;=INDEX(Drivers!$G$8:$G$13,B654),A654&lt;INDEX(Drivers!$G$8:$G$13,B654)+INDEX(Drivers!$J$8:$J$13,B654)),"PIT",IF(MOD(A654+INDEX(Drivers!$F$8:$F$13,B654),Control!$B$11)&lt;Control!$B$13,"BOOST","RACE"))))</x:f>
        <x:v>RACE</x:v>
      </x:c>
      <x:c r="F654" s="83" t="n">
        <x:f>IF(OR(E654="GRID",E654="FINISHED",E654="PIT"),0,MAX(Control!$B$15,(INDEX(Drivers!$D$8:$D$13,B654)+INDEX(Drivers!$E$8:$E$13,B654)*SIN((A654+INDEX(Drivers!$F$8:$F$13,B654)+Control!$B$16)*Control!$B$14))*INDEX(TrackMap!$M$8:$M$141,MOD(INT(D654)-1,Control!$B$7)+1)*IF(E654="BOOST",Control!$B$12,1)))</x:f>
        <x:v>4.028752326504413</x:v>
      </x:c>
      <x:c r="G654" s="83" t="n">
        <x:f>IF(A654=0,D654,MIN(Control!$B$17,D654+F654))</x:f>
        <x:v>369.06652767098404</x:v>
      </x:c>
      <x:c r="H654" s="73" t="n">
        <x:f>MOD(INT(G654)-1,Control!$B$7)+1</x:f>
        <x:v>101</x:v>
      </x:c>
      <x:c r="I654" s="73" t="n">
        <x:f>MIN(Control!$B$6,MAX(1,INT(MAX(0,G654)/Control!$B$7)+1))</x:f>
        <x:v>3</x:v>
      </x:c>
      <x:c r="J654" s="73" t="n">
        <x:f>INDEX(Drivers!$H$8:$H$13,B654)</x:f>
        <x:v>1</x:v>
      </x:c>
      <x:c r="K654" s="73" t="n">
        <x:f>IF(J654=1,INDEX(TrackMap!$I$8:$I$141,H654),INDEX(TrackMap!$L$8:$L$141,H654))</x:f>
        <x:v>3150</x:v>
      </x:c>
      <x:c r="L654" s="73" t="str">
        <x:f>INDEX(TrackMap!$F$8:$F$141,H654)</x:f>
        <x:v>←</x:v>
      </x:c>
      <x:c r="M654" s="87" t="n">
        <x:f>MAX(0,G654/Control!$B$17)</x:f>
        <x:v>0.5508455636880358</x:v>
      </x:c>
      <x:c r="N654" s="73" t="n">
        <x:f>IF(N648&gt;0,N648,IF(G654&gt;=Control!$B$17,A654,0))</x:f>
        <x:v>0</x:v>
      </x:c>
      <x:c r="O654" s="91" t="n">
        <x:f>IF(N654&gt;0,Control!$B$17+Control!$B$8+1-N654,G654)-B654/100000</x:f>
        <x:v>369.06647767098406</x:v>
      </x:c>
      <x:c r="P654" s="73" t="n">
        <x:f>COUNTIF($O$650:$O$655,"&gt;"&amp;O654)+1</x:f>
        <x:v>2</x:v>
      </x:c>
      <x:c r="Q654" s="83" t="n">
        <x:f>MAX($G$650:$G$655)-G654</x:f>
        <x:v>2.4536337384294598</x:v>
      </x:c>
      <x:c r="R654" s="73" t="str">
        <x:f>INDEX(TrackMap!$B$8:$B$141,H654)</x:f>
        <x:v>发车大直道</x:v>
      </x:c>
    </x:row>
    <x:row r="655" ht="20" customHeight="1">
      <x:c r="A655" s="73" t="n">
        <x:v>107</x:v>
      </x:c>
      <x:c r="B655" s="73" t="n">
        <x:v>6</x:v>
      </x:c>
      <x:c r="C655" s="73" t="str">
        <x:f>INDEX(Drivers!$B$8:$B$13,B655)</x:f>
        <x:v>玫速</x:v>
      </x:c>
      <x:c r="D655" s="83" t="n">
        <x:f>G649</x:f>
        <x:v>363.73395633048415</x:v>
      </x:c>
      <x:c r="E655" s="83" t="str">
        <x:f>IF(A655=0,"GRID",IF(D655&gt;=Control!$B$17,"FINISHED",IF(AND(A655&gt;=INDEX(Drivers!$G$8:$G$13,B655),A655&lt;INDEX(Drivers!$G$8:$G$13,B655)+INDEX(Drivers!$J$8:$J$13,B655)),"PIT",IF(MOD(A655+INDEX(Drivers!$F$8:$F$13,B655),Control!$B$11)&lt;Control!$B$13,"BOOST","RACE"))))</x:f>
        <x:v>RACE</x:v>
      </x:c>
      <x:c r="F655" s="83" t="n">
        <x:f>IF(OR(E655="GRID",E655="FINISHED",E655="PIT"),0,MAX(Control!$B$15,(INDEX(Drivers!$D$8:$D$13,B655)+INDEX(Drivers!$E$8:$E$13,B655)*SIN((A655+INDEX(Drivers!$F$8:$F$13,B655)+Control!$B$16)*Control!$B$14))*INDEX(TrackMap!$M$8:$M$141,MOD(INT(D655)-1,Control!$B$7)+1)*IF(E655="BOOST",Control!$B$12,1)))</x:f>
        <x:v>3.086323696767871</x:v>
      </x:c>
      <x:c r="G655" s="83" t="n">
        <x:f>IF(A655=0,D655,MIN(Control!$B$17,D655+F655))</x:f>
        <x:v>366.820280027252</x:v>
      </x:c>
      <x:c r="H655" s="73" t="n">
        <x:f>MOD(INT(G655)-1,Control!$B$7)+1</x:f>
        <x:v>98</x:v>
      </x:c>
      <x:c r="I655" s="73" t="n">
        <x:f>MIN(Control!$B$6,MAX(1,INT(MAX(0,G655)/Control!$B$7)+1))</x:f>
        <x:v>3</x:v>
      </x:c>
      <x:c r="J655" s="73" t="n">
        <x:f>INDEX(Drivers!$H$8:$H$13,B655)</x:f>
        <x:v>2</x:v>
      </x:c>
      <x:c r="K655" s="73" t="n">
        <x:f>IF(J655=1,INDEX(TrackMap!$I$8:$I$141,H655),INDEX(TrackMap!$L$8:$L$141,H655))</x:f>
        <x:v>2751</x:v>
      </x:c>
      <x:c r="L655" s="73" t="str">
        <x:f>INDEX(TrackMap!$F$8:$F$141,H655)</x:f>
        <x:v>↓</x:v>
      </x:c>
      <x:c r="M655" s="87" t="n">
        <x:f>MAX(0,G655/Control!$B$17)</x:f>
        <x:v>0.5474929552645552</x:v>
      </x:c>
      <x:c r="N655" s="73" t="n">
        <x:f>IF(N649&gt;0,N649,IF(G655&gt;=Control!$B$17,A655,0))</x:f>
        <x:v>0</x:v>
      </x:c>
      <x:c r="O655" s="91" t="n">
        <x:f>IF(N655&gt;0,Control!$B$17+Control!$B$8+1-N655,G655)-B655/100000</x:f>
        <x:v>366.820220027252</x:v>
      </x:c>
      <x:c r="P655" s="73" t="n">
        <x:f>COUNTIF($O$650:$O$655,"&gt;"&amp;O655)+1</x:f>
        <x:v>3</x:v>
      </x:c>
      <x:c r="Q655" s="83" t="n">
        <x:f>MAX($G$650:$G$655)-G655</x:f>
        <x:v>4.699881382161493</x:v>
      </x:c>
      <x:c r="R655" s="73" t="str">
        <x:f>INDEX(TrackMap!$B$8:$B$141,H655)</x:f>
        <x:v>东侧长直道</x:v>
      </x:c>
    </x:row>
    <x:row r="656" ht="20" customHeight="1">
      <x:c r="A656" s="73" t="n">
        <x:v>108</x:v>
      </x:c>
      <x:c r="B656" s="73" t="n">
        <x:v>1</x:v>
      </x:c>
      <x:c r="C656" s="73" t="str">
        <x:f>INDEX(Drivers!$B$8:$B$13,B656)</x:f>
        <x:v>赤焰</x:v>
      </x:c>
      <x:c r="D656" s="83" t="n">
        <x:f>G650</x:f>
        <x:v>361.6804936865464</x:v>
      </x:c>
      <x:c r="E656" s="83" t="str">
        <x:f>IF(A656=0,"GRID",IF(D656&gt;=Control!$B$17,"FINISHED",IF(AND(A656&gt;=INDEX(Drivers!$G$8:$G$13,B656),A656&lt;INDEX(Drivers!$G$8:$G$13,B656)+INDEX(Drivers!$J$8:$J$13,B656)),"PIT",IF(MOD(A656+INDEX(Drivers!$F$8:$F$13,B656),Control!$B$11)&lt;Control!$B$13,"BOOST","RACE"))))</x:f>
        <x:v>RACE</x:v>
      </x:c>
      <x:c r="F656" s="83" t="n">
        <x:f>IF(OR(E656="GRID",E656="FINISHED",E656="PIT"),0,MAX(Control!$B$15,(INDEX(Drivers!$D$8:$D$13,B656)+INDEX(Drivers!$E$8:$E$13,B656)*SIN((A656+INDEX(Drivers!$F$8:$F$13,B656)+Control!$B$16)*Control!$B$14))*INDEX(TrackMap!$M$8:$M$141,MOD(INT(D656)-1,Control!$B$7)+1)*IF(E656="BOOST",Control!$B$12,1)))</x:f>
        <x:v>4.15373584125597</x:v>
      </x:c>
      <x:c r="G656" s="83" t="n">
        <x:f>IF(A656=0,D656,MIN(Control!$B$17,D656+F656))</x:f>
        <x:v>365.8342295278024</x:v>
      </x:c>
      <x:c r="H656" s="73" t="n">
        <x:f>MOD(INT(G656)-1,Control!$B$7)+1</x:f>
        <x:v>97</x:v>
      </x:c>
      <x:c r="I656" s="73" t="n">
        <x:f>MIN(Control!$B$6,MAX(1,INT(MAX(0,G656)/Control!$B$7)+1))</x:f>
        <x:v>3</x:v>
      </x:c>
      <x:c r="J656" s="73" t="n">
        <x:f>INDEX(Drivers!$H$8:$H$13,B656)</x:f>
        <x:v>1</x:v>
      </x:c>
      <x:c r="K656" s="73" t="n">
        <x:f>IF(J656=1,INDEX(TrackMap!$I$8:$I$141,H656),INDEX(TrackMap!$L$8:$L$141,H656))</x:f>
        <x:v>2652</x:v>
      </x:c>
      <x:c r="L656" s="73" t="str">
        <x:f>INDEX(TrackMap!$F$8:$F$141,H656)</x:f>
        <x:v>↓</x:v>
      </x:c>
      <x:c r="M656" s="87" t="n">
        <x:f>MAX(0,G656/Control!$B$17)</x:f>
        <x:v>0.5460212381011976</x:v>
      </x:c>
      <x:c r="N656" s="73" t="n">
        <x:f>IF(N650&gt;0,N650,IF(G656&gt;=Control!$B$17,A656,0))</x:f>
        <x:v>0</x:v>
      </x:c>
      <x:c r="O656" s="91" t="n">
        <x:f>IF(N656&gt;0,Control!$B$17+Control!$B$8+1-N656,G656)-B656/100000</x:f>
        <x:v>365.8342195278024</x:v>
      </x:c>
      <x:c r="P656" s="73" t="n">
        <x:f>COUNTIF($O$656:$O$661,"&gt;"&amp;O656)+1</x:f>
        <x:v>5</x:v>
      </x:c>
      <x:c r="Q656" s="83" t="n">
        <x:f>MAX($G$656:$G$661)-G656</x:f>
        <x:v>10.717712996613443</x:v>
      </x:c>
      <x:c r="R656" s="73" t="str">
        <x:f>INDEX(TrackMap!$B$8:$B$141,H656)</x:f>
        <x:v>东侧长直道</x:v>
      </x:c>
    </x:row>
    <x:row r="657" ht="20" customHeight="1">
      <x:c r="A657" s="73" t="n">
        <x:v>108</x:v>
      </x:c>
      <x:c r="B657" s="73" t="n">
        <x:v>2</x:v>
      </x:c>
      <x:c r="C657" s="73" t="str">
        <x:f>INDEX(Drivers!$B$8:$B$13,B657)</x:f>
        <x:v>蓝电</x:v>
      </x:c>
      <x:c r="D657" s="83" t="n">
        <x:f>G651</x:f>
        <x:v>366.0187866522843</x:v>
      </x:c>
      <x:c r="E657" s="83" t="str">
        <x:f>IF(A657=0,"GRID",IF(D657&gt;=Control!$B$17,"FINISHED",IF(AND(A657&gt;=INDEX(Drivers!$G$8:$G$13,B657),A657&lt;INDEX(Drivers!$G$8:$G$13,B657)+INDEX(Drivers!$J$8:$J$13,B657)),"PIT",IF(MOD(A657+INDEX(Drivers!$F$8:$F$13,B657),Control!$B$11)&lt;Control!$B$13,"BOOST","RACE"))))</x:f>
        <x:v>RACE</x:v>
      </x:c>
      <x:c r="F657" s="83" t="n">
        <x:f>IF(OR(E657="GRID",E657="FINISHED",E657="PIT"),0,MAX(Control!$B$15,(INDEX(Drivers!$D$8:$D$13,B657)+INDEX(Drivers!$E$8:$E$13,B657)*SIN((A657+INDEX(Drivers!$F$8:$F$13,B657)+Control!$B$16)*Control!$B$14))*INDEX(TrackMap!$M$8:$M$141,MOD(INT(D657)-1,Control!$B$7)+1)*IF(E657="BOOST",Control!$B$12,1)))</x:f>
        <x:v>3.238195081464197</x:v>
      </x:c>
      <x:c r="G657" s="83" t="n">
        <x:f>IF(A657=0,D657,MIN(Control!$B$17,D657+F657))</x:f>
        <x:v>369.2569817337485</x:v>
      </x:c>
      <x:c r="H657" s="73" t="n">
        <x:f>MOD(INT(G657)-1,Control!$B$7)+1</x:f>
        <x:v>101</x:v>
      </x:c>
      <x:c r="I657" s="73" t="n">
        <x:f>MIN(Control!$B$6,MAX(1,INT(MAX(0,G657)/Control!$B$7)+1))</x:f>
        <x:v>3</x:v>
      </x:c>
      <x:c r="J657" s="73" t="n">
        <x:f>INDEX(Drivers!$H$8:$H$13,B657)</x:f>
        <x:v>2</x:v>
      </x:c>
      <x:c r="K657" s="73" t="n">
        <x:f>IF(J657=1,INDEX(TrackMap!$I$8:$I$141,H657),INDEX(TrackMap!$L$8:$L$141,H657))</x:f>
        <x:v>3050</x:v>
      </x:c>
      <x:c r="L657" s="73" t="str">
        <x:f>INDEX(TrackMap!$F$8:$F$141,H657)</x:f>
        <x:v>←</x:v>
      </x:c>
      <x:c r="M657" s="87" t="n">
        <x:f>MAX(0,G657/Control!$B$17)</x:f>
        <x:v>0.5511298234832067</x:v>
      </x:c>
      <x:c r="N657" s="73" t="n">
        <x:f>IF(N651&gt;0,N651,IF(G657&gt;=Control!$B$17,A657,0))</x:f>
        <x:v>0</x:v>
      </x:c>
      <x:c r="O657" s="91" t="n">
        <x:f>IF(N657&gt;0,Control!$B$17+Control!$B$8+1-N657,G657)-B657/100000</x:f>
        <x:v>369.2569617337485</x:v>
      </x:c>
      <x:c r="P657" s="73" t="n">
        <x:f>COUNTIF($O$656:$O$661,"&gt;"&amp;O657)+1</x:f>
        <x:v>4</x:v>
      </x:c>
      <x:c r="Q657" s="83" t="n">
        <x:f>MAX($G$656:$G$661)-G657</x:f>
        <x:v>7.294960790667346</x:v>
      </x:c>
      <x:c r="R657" s="73" t="str">
        <x:f>INDEX(TrackMap!$B$8:$B$141,H657)</x:f>
        <x:v>发车大直道</x:v>
      </x:c>
    </x:row>
    <x:row r="658" ht="20" customHeight="1">
      <x:c r="A658" s="73" t="n">
        <x:v>108</x:v>
      </x:c>
      <x:c r="B658" s="73" t="n">
        <x:v>3</x:v>
      </x:c>
      <x:c r="C658" s="73" t="str">
        <x:f>INDEX(Drivers!$B$8:$B$13,B658)</x:f>
        <x:v>金翼</x:v>
      </x:c>
      <x:c r="D658" s="83" t="n">
        <x:f>G652</x:f>
        <x:v>371.5201614094135</x:v>
      </x:c>
      <x:c r="E658" s="83" t="str">
        <x:f>IF(A658=0,"GRID",IF(D658&gt;=Control!$B$17,"FINISHED",IF(AND(A658&gt;=INDEX(Drivers!$G$8:$G$13,B658),A658&lt;INDEX(Drivers!$G$8:$G$13,B658)+INDEX(Drivers!$J$8:$J$13,B658)),"PIT",IF(MOD(A658+INDEX(Drivers!$F$8:$F$13,B658),Control!$B$11)&lt;Control!$B$13,"BOOST","RACE"))))</x:f>
        <x:v>BOOST</x:v>
      </x:c>
      <x:c r="F658" s="83" t="n">
        <x:f>IF(OR(E658="GRID",E658="FINISHED",E658="PIT"),0,MAX(Control!$B$15,(INDEX(Drivers!$D$8:$D$13,B658)+INDEX(Drivers!$E$8:$E$13,B658)*SIN((A658+INDEX(Drivers!$F$8:$F$13,B658)+Control!$B$16)*Control!$B$14))*INDEX(TrackMap!$M$8:$M$141,MOD(INT(D658)-1,Control!$B$7)+1)*IF(E658="BOOST",Control!$B$12,1)))</x:f>
        <x:v>5.03178111500233</x:v>
      </x:c>
      <x:c r="G658" s="83" t="n">
        <x:f>IF(A658=0,D658,MIN(Control!$B$17,D658+F658))</x:f>
        <x:v>376.55194252441584</x:v>
      </x:c>
      <x:c r="H658" s="73" t="n">
        <x:f>MOD(INT(G658)-1,Control!$B$7)+1</x:f>
        <x:v>108</x:v>
      </x:c>
      <x:c r="I658" s="73" t="n">
        <x:f>MIN(Control!$B$6,MAX(1,INT(MAX(0,G658)/Control!$B$7)+1))</x:f>
        <x:v>3</x:v>
      </x:c>
      <x:c r="J658" s="73" t="n">
        <x:f>INDEX(Drivers!$H$8:$H$13,B658)</x:f>
        <x:v>1</x:v>
      </x:c>
      <x:c r="K658" s="73" t="n">
        <x:f>IF(J658=1,INDEX(TrackMap!$I$8:$I$141,H658),INDEX(TrackMap!$L$8:$L$141,H658))</x:f>
        <x:v>3143</x:v>
      </x:c>
      <x:c r="L658" s="73" t="str">
        <x:f>INDEX(TrackMap!$F$8:$F$141,H658)</x:f>
        <x:v>←</x:v>
      </x:c>
      <x:c r="M658" s="87" t="n">
        <x:f>MAX(0,G658/Control!$B$17)</x:f>
        <x:v>0.5620178246633072</x:v>
      </x:c>
      <x:c r="N658" s="73" t="n">
        <x:f>IF(N652&gt;0,N652,IF(G658&gt;=Control!$B$17,A658,0))</x:f>
        <x:v>0</x:v>
      </x:c>
      <x:c r="O658" s="91" t="n">
        <x:f>IF(N658&gt;0,Control!$B$17+Control!$B$8+1-N658,G658)-B658/100000</x:f>
        <x:v>376.55191252441585</x:v>
      </x:c>
      <x:c r="P658" s="73" t="n">
        <x:f>COUNTIF($O$656:$O$661,"&gt;"&amp;O658)+1</x:f>
        <x:v>1</x:v>
      </x:c>
      <x:c r="Q658" s="83" t="n">
        <x:f>MAX($G$656:$G$661)-G658</x:f>
        <x:v>0</x:v>
      </x:c>
      <x:c r="R658" s="73" t="str">
        <x:f>INDEX(TrackMap!$B$8:$B$141,H658)</x:f>
        <x:v>发车大直道</x:v>
      </x:c>
    </x:row>
    <x:row r="659" ht="20" customHeight="1">
      <x:c r="A659" s="73" t="n">
        <x:v>108</x:v>
      </x:c>
      <x:c r="B659" s="73" t="n">
        <x:v>4</x:v>
      </x:c>
      <x:c r="C659" s="73" t="str">
        <x:f>INDEX(Drivers!$B$8:$B$13,B659)</x:f>
        <x:v>紫影</x:v>
      </x:c>
      <x:c r="D659" s="83" t="n">
        <x:f>G653</x:f>
        <x:v>359.4472921376545</x:v>
      </x:c>
      <x:c r="E659" s="83" t="str">
        <x:f>IF(A659=0,"GRID",IF(D659&gt;=Control!$B$17,"FINISHED",IF(AND(A659&gt;=INDEX(Drivers!$G$8:$G$13,B659),A659&lt;INDEX(Drivers!$G$8:$G$13,B659)+INDEX(Drivers!$J$8:$J$13,B659)),"PIT",IF(MOD(A659+INDEX(Drivers!$F$8:$F$13,B659),Control!$B$11)&lt;Control!$B$13,"BOOST","RACE"))))</x:f>
        <x:v>PIT</x:v>
      </x:c>
      <x:c r="F659" s="83" t="n">
        <x:f>IF(OR(E659="GRID",E659="FINISHED",E659="PIT"),0,MAX(Control!$B$15,(INDEX(Drivers!$D$8:$D$13,B659)+INDEX(Drivers!$E$8:$E$13,B659)*SIN((A659+INDEX(Drivers!$F$8:$F$13,B659)+Control!$B$16)*Control!$B$14))*INDEX(TrackMap!$M$8:$M$141,MOD(INT(D659)-1,Control!$B$7)+1)*IF(E659="BOOST",Control!$B$12,1)))</x:f>
        <x:v>0</x:v>
      </x:c>
      <x:c r="G659" s="83" t="n">
        <x:f>IF(A659=0,D659,MIN(Control!$B$17,D659+F659))</x:f>
        <x:v>359.4472921376545</x:v>
      </x:c>
      <x:c r="H659" s="73" t="n">
        <x:f>MOD(INT(G659)-1,Control!$B$7)+1</x:f>
        <x:v>91</x:v>
      </x:c>
      <x:c r="I659" s="73" t="n">
        <x:f>MIN(Control!$B$6,MAX(1,INT(MAX(0,G659)/Control!$B$7)+1))</x:f>
        <x:v>3</x:v>
      </x:c>
      <x:c r="J659" s="73" t="n">
        <x:f>INDEX(Drivers!$H$8:$H$13,B659)</x:f>
        <x:v>2</x:v>
      </x:c>
      <x:c r="K659" s="73" t="n">
        <x:f>IF(J659=1,INDEX(TrackMap!$I$8:$I$141,H659),INDEX(TrackMap!$L$8:$L$141,H659))</x:f>
        <x:v>2051</x:v>
      </x:c>
      <x:c r="L659" s="73" t="str">
        <x:f>INDEX(TrackMap!$F$8:$F$141,H659)</x:f>
        <x:v>↓</x:v>
      </x:c>
      <x:c r="M659" s="87" t="n">
        <x:f>MAX(0,G659/Control!$B$17)</x:f>
        <x:v>0.5364884957278425</x:v>
      </x:c>
      <x:c r="N659" s="73" t="n">
        <x:f>IF(N653&gt;0,N653,IF(G659&gt;=Control!$B$17,A659,0))</x:f>
        <x:v>0</x:v>
      </x:c>
      <x:c r="O659" s="91" t="n">
        <x:f>IF(N659&gt;0,Control!$B$17+Control!$B$8+1-N659,G659)-B659/100000</x:f>
        <x:v>359.44725213765446</x:v>
      </x:c>
      <x:c r="P659" s="73" t="n">
        <x:f>COUNTIF($O$656:$O$661,"&gt;"&amp;O659)+1</x:f>
        <x:v>6</x:v>
      </x:c>
      <x:c r="Q659" s="83" t="n">
        <x:f>MAX($G$656:$G$661)-G659</x:f>
        <x:v>17.104650386761364</x:v>
      </x:c>
      <x:c r="R659" s="73" t="str">
        <x:f>INDEX(TrackMap!$B$8:$B$141,H659)</x:f>
        <x:v>东侧长直道</x:v>
      </x:c>
    </x:row>
    <x:row r="660" ht="20" customHeight="1">
      <x:c r="A660" s="73" t="n">
        <x:v>108</x:v>
      </x:c>
      <x:c r="B660" s="73" t="n">
        <x:v>5</x:v>
      </x:c>
      <x:c r="C660" s="73" t="str">
        <x:f>INDEX(Drivers!$B$8:$B$13,B660)</x:f>
        <x:v>青锋</x:v>
      </x:c>
      <x:c r="D660" s="83" t="n">
        <x:f>G654</x:f>
        <x:v>369.06652767098404</x:v>
      </x:c>
      <x:c r="E660" s="83" t="str">
        <x:f>IF(A660=0,"GRID",IF(D660&gt;=Control!$B$17,"FINISHED",IF(AND(A660&gt;=INDEX(Drivers!$G$8:$G$13,B660),A660&lt;INDEX(Drivers!$G$8:$G$13,B660)+INDEX(Drivers!$J$8:$J$13,B660)),"PIT",IF(MOD(A660+INDEX(Drivers!$F$8:$F$13,B660),Control!$B$11)&lt;Control!$B$13,"BOOST","RACE"))))</x:f>
        <x:v>RACE</x:v>
      </x:c>
      <x:c r="F660" s="83" t="n">
        <x:f>IF(OR(E660="GRID",E660="FINISHED",E660="PIT"),0,MAX(Control!$B$15,(INDEX(Drivers!$D$8:$D$13,B660)+INDEX(Drivers!$E$8:$E$13,B660)*SIN((A660+INDEX(Drivers!$F$8:$F$13,B660)+Control!$B$16)*Control!$B$14))*INDEX(TrackMap!$M$8:$M$141,MOD(INT(D660)-1,Control!$B$7)+1)*IF(E660="BOOST",Control!$B$12,1)))</x:f>
        <x:v>3.0272380897649347</x:v>
      </x:c>
      <x:c r="G660" s="83" t="n">
        <x:f>IF(A660=0,D660,MIN(Control!$B$17,D660+F660))</x:f>
        <x:v>372.09376576074897</x:v>
      </x:c>
      <x:c r="H660" s="73" t="n">
        <x:f>MOD(INT(G660)-1,Control!$B$7)+1</x:f>
        <x:v>104</x:v>
      </x:c>
      <x:c r="I660" s="73" t="n">
        <x:f>MIN(Control!$B$6,MAX(1,INT(MAX(0,G660)/Control!$B$7)+1))</x:f>
        <x:v>3</x:v>
      </x:c>
      <x:c r="J660" s="73" t="n">
        <x:f>INDEX(Drivers!$H$8:$H$13,B660)</x:f>
        <x:v>1</x:v>
      </x:c>
      <x:c r="K660" s="73" t="n">
        <x:f>IF(J660=1,INDEX(TrackMap!$I$8:$I$141,H660),INDEX(TrackMap!$L$8:$L$141,H660))</x:f>
        <x:v>3147</x:v>
      </x:c>
      <x:c r="L660" s="73" t="str">
        <x:f>INDEX(TrackMap!$F$8:$F$141,H660)</x:f>
        <x:v>←</x:v>
      </x:c>
      <x:c r="M660" s="87" t="n">
        <x:f>MAX(0,G660/Control!$B$17)</x:f>
        <x:v>0.5553638294936551</x:v>
      </x:c>
      <x:c r="N660" s="73" t="n">
        <x:f>IF(N654&gt;0,N654,IF(G660&gt;=Control!$B$17,A660,0))</x:f>
        <x:v>0</x:v>
      </x:c>
      <x:c r="O660" s="91" t="n">
        <x:f>IF(N660&gt;0,Control!$B$17+Control!$B$8+1-N660,G660)-B660/100000</x:f>
        <x:v>372.093715760749</x:v>
      </x:c>
      <x:c r="P660" s="73" t="n">
        <x:f>COUNTIF($O$656:$O$661,"&gt;"&amp;O660)+1</x:f>
        <x:v>2</x:v>
      </x:c>
      <x:c r="Q660" s="83" t="n">
        <x:f>MAX($G$656:$G$661)-G660</x:f>
        <x:v>4.45817676366687</x:v>
      </x:c>
      <x:c r="R660" s="73" t="str">
        <x:f>INDEX(TrackMap!$B$8:$B$141,H660)</x:f>
        <x:v>发车大直道</x:v>
      </x:c>
    </x:row>
    <x:row r="661" ht="20" customHeight="1">
      <x:c r="A661" s="73" t="n">
        <x:v>108</x:v>
      </x:c>
      <x:c r="B661" s="73" t="n">
        <x:v>6</x:v>
      </x:c>
      <x:c r="C661" s="73" t="str">
        <x:f>INDEX(Drivers!$B$8:$B$13,B661)</x:f>
        <x:v>玫速</x:v>
      </x:c>
      <x:c r="D661" s="83" t="n">
        <x:f>G655</x:f>
        <x:v>366.820280027252</x:v>
      </x:c>
      <x:c r="E661" s="83" t="str">
        <x:f>IF(A661=0,"GRID",IF(D661&gt;=Control!$B$17,"FINISHED",IF(AND(A661&gt;=INDEX(Drivers!$G$8:$G$13,B661),A661&lt;INDEX(Drivers!$G$8:$G$13,B661)+INDEX(Drivers!$J$8:$J$13,B661)),"PIT",IF(MOD(A661+INDEX(Drivers!$F$8:$F$13,B661),Control!$B$11)&lt;Control!$B$13,"BOOST","RACE"))))</x:f>
        <x:v>RACE</x:v>
      </x:c>
      <x:c r="F661" s="83" t="n">
        <x:f>IF(OR(E661="GRID",E661="FINISHED",E661="PIT"),0,MAX(Control!$B$15,(INDEX(Drivers!$D$8:$D$13,B661)+INDEX(Drivers!$E$8:$E$13,B661)*SIN((A661+INDEX(Drivers!$F$8:$F$13,B661)+Control!$B$16)*Control!$B$14))*INDEX(TrackMap!$M$8:$M$141,MOD(INT(D661)-1,Control!$B$7)+1)*IF(E661="BOOST",Control!$B$12,1)))</x:f>
        <x:v>3.1579171472986127</x:v>
      </x:c>
      <x:c r="G661" s="83" t="n">
        <x:f>IF(A661=0,D661,MIN(Control!$B$17,D661+F661))</x:f>
        <x:v>369.97819717455064</x:v>
      </x:c>
      <x:c r="H661" s="73" t="n">
        <x:f>MOD(INT(G661)-1,Control!$B$7)+1</x:f>
        <x:v>101</x:v>
      </x:c>
      <x:c r="I661" s="73" t="n">
        <x:f>MIN(Control!$B$6,MAX(1,INT(MAX(0,G661)/Control!$B$7)+1))</x:f>
        <x:v>3</x:v>
      </x:c>
      <x:c r="J661" s="73" t="n">
        <x:f>INDEX(Drivers!$H$8:$H$13,B661)</x:f>
        <x:v>2</x:v>
      </x:c>
      <x:c r="K661" s="73" t="n">
        <x:f>IF(J661=1,INDEX(TrackMap!$I$8:$I$141,H661),INDEX(TrackMap!$L$8:$L$141,H661))</x:f>
        <x:v>3050</x:v>
      </x:c>
      <x:c r="L661" s="73" t="str">
        <x:f>INDEX(TrackMap!$F$8:$F$141,H661)</x:f>
        <x:v>←</x:v>
      </x:c>
      <x:c r="M661" s="87" t="n">
        <x:f>MAX(0,G661/Control!$B$17)</x:f>
        <x:v>0.5522062644396278</x:v>
      </x:c>
      <x:c r="N661" s="73" t="n">
        <x:f>IF(N655&gt;0,N655,IF(G661&gt;=Control!$B$17,A661,0))</x:f>
        <x:v>0</x:v>
      </x:c>
      <x:c r="O661" s="91" t="n">
        <x:f>IF(N661&gt;0,Control!$B$17+Control!$B$8+1-N661,G661)-B661/100000</x:f>
        <x:v>369.9781371745506</x:v>
      </x:c>
      <x:c r="P661" s="73" t="n">
        <x:f>COUNTIF($O$656:$O$661,"&gt;"&amp;O661)+1</x:f>
        <x:v>3</x:v>
      </x:c>
      <x:c r="Q661" s="83" t="n">
        <x:f>MAX($G$656:$G$661)-G661</x:f>
        <x:v>6.573745349865192</x:v>
      </x:c>
      <x:c r="R661" s="73" t="str">
        <x:f>INDEX(TrackMap!$B$8:$B$141,H661)</x:f>
        <x:v>发车大直道</x:v>
      </x:c>
    </x:row>
    <x:row r="662" ht="20" customHeight="1">
      <x:c r="A662" s="73" t="n">
        <x:v>109</x:v>
      </x:c>
      <x:c r="B662" s="73" t="n">
        <x:v>1</x:v>
      </x:c>
      <x:c r="C662" s="73" t="str">
        <x:f>INDEX(Drivers!$B$8:$B$13,B662)</x:f>
        <x:v>赤焰</x:v>
      </x:c>
      <x:c r="D662" s="83" t="n">
        <x:f>G656</x:f>
        <x:v>365.8342295278024</x:v>
      </x:c>
      <x:c r="E662" s="83" t="str">
        <x:f>IF(A662=0,"GRID",IF(D662&gt;=Control!$B$17,"FINISHED",IF(AND(A662&gt;=INDEX(Drivers!$G$8:$G$13,B662),A662&lt;INDEX(Drivers!$G$8:$G$13,B662)+INDEX(Drivers!$J$8:$J$13,B662)),"PIT",IF(MOD(A662+INDEX(Drivers!$F$8:$F$13,B662),Control!$B$11)&lt;Control!$B$13,"BOOST","RACE"))))</x:f>
        <x:v>RACE</x:v>
      </x:c>
      <x:c r="F662" s="83" t="n">
        <x:f>IF(OR(E662="GRID",E662="FINISHED",E662="PIT"),0,MAX(Control!$B$15,(INDEX(Drivers!$D$8:$D$13,B662)+INDEX(Drivers!$E$8:$E$13,B662)*SIN((A662+INDEX(Drivers!$F$8:$F$13,B662)+Control!$B$16)*Control!$B$14))*INDEX(TrackMap!$M$8:$M$141,MOD(INT(D662)-1,Control!$B$7)+1)*IF(E662="BOOST",Control!$B$12,1)))</x:f>
        <x:v>4.199489390890911</x:v>
      </x:c>
      <x:c r="G662" s="83" t="n">
        <x:f>IF(A662=0,D662,MIN(Control!$B$17,D662+F662))</x:f>
        <x:v>370.0337189186933</x:v>
      </x:c>
      <x:c r="H662" s="73" t="n">
        <x:f>MOD(INT(G662)-1,Control!$B$7)+1</x:f>
        <x:v>102</x:v>
      </x:c>
      <x:c r="I662" s="73" t="n">
        <x:f>MIN(Control!$B$6,MAX(1,INT(MAX(0,G662)/Control!$B$7)+1))</x:f>
        <x:v>3</x:v>
      </x:c>
      <x:c r="J662" s="73" t="n">
        <x:f>INDEX(Drivers!$H$8:$H$13,B662)</x:f>
        <x:v>1</x:v>
      </x:c>
      <x:c r="K662" s="73" t="n">
        <x:f>IF(J662=1,INDEX(TrackMap!$I$8:$I$141,H662),INDEX(TrackMap!$L$8:$L$141,H662))</x:f>
        <x:v>3149</x:v>
      </x:c>
      <x:c r="L662" s="73" t="str">
        <x:f>INDEX(TrackMap!$F$8:$F$141,H662)</x:f>
        <x:v>←</x:v>
      </x:c>
      <x:c r="M662" s="87" t="n">
        <x:f>MAX(0,G662/Control!$B$17)</x:f>
        <x:v>0.5522891327144676</x:v>
      </x:c>
      <x:c r="N662" s="73" t="n">
        <x:f>IF(N656&gt;0,N656,IF(G662&gt;=Control!$B$17,A662,0))</x:f>
        <x:v>0</x:v>
      </x:c>
      <x:c r="O662" s="91" t="n">
        <x:f>IF(N662&gt;0,Control!$B$17+Control!$B$8+1-N662,G662)-B662/100000</x:f>
        <x:v>370.0337089186933</x:v>
      </x:c>
      <x:c r="P662" s="73" t="n">
        <x:f>COUNTIF($O$662:$O$667,"&gt;"&amp;O662)+1</x:f>
        <x:v>5</x:v>
      </x:c>
      <x:c r="Q662" s="83" t="n">
        <x:f>MAX($G$662:$G$667)-G662</x:f>
        <x:v>11.79124341326667</x:v>
      </x:c>
      <x:c r="R662" s="73" t="str">
        <x:f>INDEX(TrackMap!$B$8:$B$141,H662)</x:f>
        <x:v>发车大直道</x:v>
      </x:c>
    </x:row>
    <x:row r="663" ht="20" customHeight="1">
      <x:c r="A663" s="73" t="n">
        <x:v>109</x:v>
      </x:c>
      <x:c r="B663" s="73" t="n">
        <x:v>2</x:v>
      </x:c>
      <x:c r="C663" s="73" t="str">
        <x:f>INDEX(Drivers!$B$8:$B$13,B663)</x:f>
        <x:v>蓝电</x:v>
      </x:c>
      <x:c r="D663" s="83" t="n">
        <x:f>G657</x:f>
        <x:v>369.2569817337485</x:v>
      </x:c>
      <x:c r="E663" s="83" t="str">
        <x:f>IF(A663=0,"GRID",IF(D663&gt;=Control!$B$17,"FINISHED",IF(AND(A663&gt;=INDEX(Drivers!$G$8:$G$13,B663),A663&lt;INDEX(Drivers!$G$8:$G$13,B663)+INDEX(Drivers!$J$8:$J$13,B663)),"PIT",IF(MOD(A663+INDEX(Drivers!$F$8:$F$13,B663),Control!$B$11)&lt;Control!$B$13,"BOOST","RACE"))))</x:f>
        <x:v>RACE</x:v>
      </x:c>
      <x:c r="F663" s="83" t="n">
        <x:f>IF(OR(E663="GRID",E663="FINISHED",E663="PIT"),0,MAX(Control!$B$15,(INDEX(Drivers!$D$8:$D$13,B663)+INDEX(Drivers!$E$8:$E$13,B663)*SIN((A663+INDEX(Drivers!$F$8:$F$13,B663)+Control!$B$16)*Control!$B$14))*INDEX(TrackMap!$M$8:$M$141,MOD(INT(D663)-1,Control!$B$7)+1)*IF(E663="BOOST",Control!$B$12,1)))</x:f>
        <x:v>2.404744188022342</x:v>
      </x:c>
      <x:c r="G663" s="83" t="n">
        <x:f>IF(A663=0,D663,MIN(Control!$B$17,D663+F663))</x:f>
        <x:v>371.6617259217708</x:v>
      </x:c>
      <x:c r="H663" s="73" t="n">
        <x:f>MOD(INT(G663)-1,Control!$B$7)+1</x:f>
        <x:v>103</x:v>
      </x:c>
      <x:c r="I663" s="73" t="n">
        <x:f>MIN(Control!$B$6,MAX(1,INT(MAX(0,G663)/Control!$B$7)+1))</x:f>
        <x:v>3</x:v>
      </x:c>
      <x:c r="J663" s="73" t="n">
        <x:f>INDEX(Drivers!$H$8:$H$13,B663)</x:f>
        <x:v>2</x:v>
      </x:c>
      <x:c r="K663" s="73" t="n">
        <x:f>IF(J663=1,INDEX(TrackMap!$I$8:$I$141,H663),INDEX(TrackMap!$L$8:$L$141,H663))</x:f>
        <x:v>3048</x:v>
      </x:c>
      <x:c r="L663" s="73" t="str">
        <x:f>INDEX(TrackMap!$F$8:$F$141,H663)</x:f>
        <x:v>←</x:v>
      </x:c>
      <x:c r="M663" s="87" t="n">
        <x:f>MAX(0,G663/Control!$B$17)</x:f>
        <x:v>0.5547189939130908</x:v>
      </x:c>
      <x:c r="N663" s="73" t="n">
        <x:f>IF(N657&gt;0,N657,IF(G663&gt;=Control!$B$17,A663,0))</x:f>
        <x:v>0</x:v>
      </x:c>
      <x:c r="O663" s="91" t="n">
        <x:f>IF(N663&gt;0,Control!$B$17+Control!$B$8+1-N663,G663)-B663/100000</x:f>
        <x:v>371.6617059217708</x:v>
      </x:c>
      <x:c r="P663" s="73" t="n">
        <x:f>COUNTIF($O$662:$O$667,"&gt;"&amp;O663)+1</x:f>
        <x:v>4</x:v>
      </x:c>
      <x:c r="Q663" s="83" t="n">
        <x:f>MAX($G$662:$G$667)-G663</x:f>
        <x:v>10.163236410189143</x:v>
      </x:c>
      <x:c r="R663" s="73" t="str">
        <x:f>INDEX(TrackMap!$B$8:$B$141,H663)</x:f>
        <x:v>发车大直道</x:v>
      </x:c>
    </x:row>
    <x:row r="664" ht="20" customHeight="1">
      <x:c r="A664" s="73" t="n">
        <x:v>109</x:v>
      </x:c>
      <x:c r="B664" s="73" t="n">
        <x:v>3</x:v>
      </x:c>
      <x:c r="C664" s="73" t="str">
        <x:f>INDEX(Drivers!$B$8:$B$13,B664)</x:f>
        <x:v>金翼</x:v>
      </x:c>
      <x:c r="D664" s="83" t="n">
        <x:f>G658</x:f>
        <x:v>376.55194252441584</x:v>
      </x:c>
      <x:c r="E664" s="83" t="str">
        <x:f>IF(A664=0,"GRID",IF(D664&gt;=Control!$B$17,"FINISHED",IF(AND(A664&gt;=INDEX(Drivers!$G$8:$G$13,B664),A664&lt;INDEX(Drivers!$G$8:$G$13,B664)+INDEX(Drivers!$J$8:$J$13,B664)),"PIT",IF(MOD(A664+INDEX(Drivers!$F$8:$F$13,B664),Control!$B$11)&lt;Control!$B$13,"BOOST","RACE"))))</x:f>
        <x:v>BOOST</x:v>
      </x:c>
      <x:c r="F664" s="83" t="n">
        <x:f>IF(OR(E664="GRID",E664="FINISHED",E664="PIT"),0,MAX(Control!$B$15,(INDEX(Drivers!$D$8:$D$13,B664)+INDEX(Drivers!$E$8:$E$13,B664)*SIN((A664+INDEX(Drivers!$F$8:$F$13,B664)+Control!$B$16)*Control!$B$14))*INDEX(TrackMap!$M$8:$M$141,MOD(INT(D664)-1,Control!$B$7)+1)*IF(E664="BOOST",Control!$B$12,1)))</x:f>
        <x:v>5.27301980754414</x:v>
      </x:c>
      <x:c r="G664" s="83" t="n">
        <x:f>IF(A664=0,D664,MIN(Control!$B$17,D664+F664))</x:f>
        <x:v>381.82496233195997</x:v>
      </x:c>
      <x:c r="H664" s="73" t="n">
        <x:f>MOD(INT(G664)-1,Control!$B$7)+1</x:f>
        <x:v>113</x:v>
      </x:c>
      <x:c r="I664" s="73" t="n">
        <x:f>MIN(Control!$B$6,MAX(1,INT(MAX(0,G664)/Control!$B$7)+1))</x:f>
        <x:v>3</x:v>
      </x:c>
      <x:c r="J664" s="73" t="n">
        <x:f>INDEX(Drivers!$H$8:$H$13,B664)</x:f>
        <x:v>1</x:v>
      </x:c>
      <x:c r="K664" s="73" t="n">
        <x:f>IF(J664=1,INDEX(TrackMap!$I$8:$I$141,H664),INDEX(TrackMap!$L$8:$L$141,H664))</x:f>
        <x:v>3138</x:v>
      </x:c>
      <x:c r="L664" s="73" t="str">
        <x:f>INDEX(TrackMap!$F$8:$F$141,H664)</x:f>
        <x:v>←</x:v>
      </x:c>
      <x:c r="M664" s="87" t="n">
        <x:f>MAX(0,G664/Control!$B$17)</x:f>
        <x:v>0.5698880034805373</x:v>
      </x:c>
      <x:c r="N664" s="73" t="n">
        <x:f>IF(N658&gt;0,N658,IF(G664&gt;=Control!$B$17,A664,0))</x:f>
        <x:v>0</x:v>
      </x:c>
      <x:c r="O664" s="91" t="n">
        <x:f>IF(N664&gt;0,Control!$B$17+Control!$B$8+1-N664,G664)-B664/100000</x:f>
        <x:v>381.82493233196</x:v>
      </x:c>
      <x:c r="P664" s="73" t="n">
        <x:f>COUNTIF($O$662:$O$667,"&gt;"&amp;O664)+1</x:f>
        <x:v>1</x:v>
      </x:c>
      <x:c r="Q664" s="83" t="n">
        <x:f>MAX($G$662:$G$667)-G664</x:f>
        <x:v>0</x:v>
      </x:c>
      <x:c r="R664" s="73" t="str">
        <x:f>INDEX(TrackMap!$B$8:$B$141,H664)</x:f>
        <x:v>发车大直道</x:v>
      </x:c>
    </x:row>
    <x:row r="665" ht="20" customHeight="1">
      <x:c r="A665" s="73" t="n">
        <x:v>109</x:v>
      </x:c>
      <x:c r="B665" s="73" t="n">
        <x:v>4</x:v>
      </x:c>
      <x:c r="C665" s="73" t="str">
        <x:f>INDEX(Drivers!$B$8:$B$13,B665)</x:f>
        <x:v>紫影</x:v>
      </x:c>
      <x:c r="D665" s="83" t="n">
        <x:f>G659</x:f>
        <x:v>359.4472921376545</x:v>
      </x:c>
      <x:c r="E665" s="83" t="str">
        <x:f>IF(A665=0,"GRID",IF(D665&gt;=Control!$B$17,"FINISHED",IF(AND(A665&gt;=INDEX(Drivers!$G$8:$G$13,B665),A665&lt;INDEX(Drivers!$G$8:$G$13,B665)+INDEX(Drivers!$J$8:$J$13,B665)),"PIT",IF(MOD(A665+INDEX(Drivers!$F$8:$F$13,B665),Control!$B$11)&lt;Control!$B$13,"BOOST","RACE"))))</x:f>
        <x:v>RACE</x:v>
      </x:c>
      <x:c r="F665" s="83" t="n">
        <x:f>IF(OR(E665="GRID",E665="FINISHED",E665="PIT"),0,MAX(Control!$B$15,(INDEX(Drivers!$D$8:$D$13,B665)+INDEX(Drivers!$E$8:$E$13,B665)*SIN((A665+INDEX(Drivers!$F$8:$F$13,B665)+Control!$B$16)*Control!$B$14))*INDEX(TrackMap!$M$8:$M$141,MOD(INT(D665)-1,Control!$B$7)+1)*IF(E665="BOOST",Control!$B$12,1)))</x:f>
        <x:v>3.673505362602462</x:v>
      </x:c>
      <x:c r="G665" s="83" t="n">
        <x:f>IF(A665=0,D665,MIN(Control!$B$17,D665+F665))</x:f>
        <x:v>363.1207975002569</x:v>
      </x:c>
      <x:c r="H665" s="73" t="n">
        <x:f>MOD(INT(G665)-1,Control!$B$7)+1</x:f>
        <x:v>95</x:v>
      </x:c>
      <x:c r="I665" s="73" t="n">
        <x:f>MIN(Control!$B$6,MAX(1,INT(MAX(0,G665)/Control!$B$7)+1))</x:f>
        <x:v>3</x:v>
      </x:c>
      <x:c r="J665" s="73" t="n">
        <x:f>INDEX(Drivers!$H$8:$H$13,B665)</x:f>
        <x:v>2</x:v>
      </x:c>
      <x:c r="K665" s="73" t="n">
        <x:f>IF(J665=1,INDEX(TrackMap!$I$8:$I$141,H665),INDEX(TrackMap!$L$8:$L$141,H665))</x:f>
        <x:v>2451</x:v>
      </x:c>
      <x:c r="L665" s="73" t="str">
        <x:f>INDEX(TrackMap!$F$8:$F$141,H665)</x:f>
        <x:v>↓</x:v>
      </x:c>
      <x:c r="M665" s="87" t="n">
        <x:f>MAX(0,G665/Control!$B$17)</x:f>
        <x:v>0.5419713395526222</x:v>
      </x:c>
      <x:c r="N665" s="73" t="n">
        <x:f>IF(N659&gt;0,N659,IF(G665&gt;=Control!$B$17,A665,0))</x:f>
        <x:v>0</x:v>
      </x:c>
      <x:c r="O665" s="91" t="n">
        <x:f>IF(N665&gt;0,Control!$B$17+Control!$B$8+1-N665,G665)-B665/100000</x:f>
        <x:v>363.1207575002569</x:v>
      </x:c>
      <x:c r="P665" s="73" t="n">
        <x:f>COUNTIF($O$662:$O$667,"&gt;"&amp;O665)+1</x:f>
        <x:v>6</x:v>
      </x:c>
      <x:c r="Q665" s="83" t="n">
        <x:f>MAX($G$662:$G$667)-G665</x:f>
        <x:v>18.704164831703054</x:v>
      </x:c>
      <x:c r="R665" s="73" t="str">
        <x:f>INDEX(TrackMap!$B$8:$B$141,H665)</x:f>
        <x:v>东侧长直道</x:v>
      </x:c>
    </x:row>
    <x:row r="666" ht="20" customHeight="1">
      <x:c r="A666" s="73" t="n">
        <x:v>109</x:v>
      </x:c>
      <x:c r="B666" s="73" t="n">
        <x:v>5</x:v>
      </x:c>
      <x:c r="C666" s="73" t="str">
        <x:f>INDEX(Drivers!$B$8:$B$13,B666)</x:f>
        <x:v>青锋</x:v>
      </x:c>
      <x:c r="D666" s="83" t="n">
        <x:f>G660</x:f>
        <x:v>372.09376576074897</x:v>
      </x:c>
      <x:c r="E666" s="83" t="str">
        <x:f>IF(A666=0,"GRID",IF(D666&gt;=Control!$B$17,"FINISHED",IF(AND(A666&gt;=INDEX(Drivers!$G$8:$G$13,B666),A666&lt;INDEX(Drivers!$G$8:$G$13,B666)+INDEX(Drivers!$J$8:$J$13,B666)),"PIT",IF(MOD(A666+INDEX(Drivers!$F$8:$F$13,B666),Control!$B$11)&lt;Control!$B$13,"BOOST","RACE"))))</x:f>
        <x:v>RACE</x:v>
      </x:c>
      <x:c r="F666" s="83" t="n">
        <x:f>IF(OR(E666="GRID",E666="FINISHED",E666="PIT"),0,MAX(Control!$B$15,(INDEX(Drivers!$D$8:$D$13,B666)+INDEX(Drivers!$E$8:$E$13,B666)*SIN((A666+INDEX(Drivers!$F$8:$F$13,B666)+Control!$B$16)*Control!$B$14))*INDEX(TrackMap!$M$8:$M$141,MOD(INT(D666)-1,Control!$B$7)+1)*IF(E666="BOOST",Control!$B$12,1)))</x:f>
        <x:v>3.6994148693907056</x:v>
      </x:c>
      <x:c r="G666" s="83" t="n">
        <x:f>IF(A666=0,D666,MIN(Control!$B$17,D666+F666))</x:f>
        <x:v>375.79318063013966</x:v>
      </x:c>
      <x:c r="H666" s="73" t="n">
        <x:f>MOD(INT(G666)-1,Control!$B$7)+1</x:f>
        <x:v>107</x:v>
      </x:c>
      <x:c r="I666" s="73" t="n">
        <x:f>MIN(Control!$B$6,MAX(1,INT(MAX(0,G666)/Control!$B$7)+1))</x:f>
        <x:v>3</x:v>
      </x:c>
      <x:c r="J666" s="73" t="n">
        <x:f>INDEX(Drivers!$H$8:$H$13,B666)</x:f>
        <x:v>1</x:v>
      </x:c>
      <x:c r="K666" s="73" t="n">
        <x:f>IF(J666=1,INDEX(TrackMap!$I$8:$I$141,H666),INDEX(TrackMap!$L$8:$L$141,H666))</x:f>
        <x:v>3144</x:v>
      </x:c>
      <x:c r="L666" s="73" t="str">
        <x:f>INDEX(TrackMap!$F$8:$F$141,H666)</x:f>
        <x:v>←</x:v>
      </x:c>
      <x:c r="M666" s="87" t="n">
        <x:f>MAX(0,G666/Control!$B$17)</x:f>
        <x:v>0.5608853442240891</x:v>
      </x:c>
      <x:c r="N666" s="73" t="n">
        <x:f>IF(N660&gt;0,N660,IF(G666&gt;=Control!$B$17,A666,0))</x:f>
        <x:v>0</x:v>
      </x:c>
      <x:c r="O666" s="91" t="n">
        <x:f>IF(N666&gt;0,Control!$B$17+Control!$B$8+1-N666,G666)-B666/100000</x:f>
        <x:v>375.7931306301397</x:v>
      </x:c>
      <x:c r="P666" s="73" t="n">
        <x:f>COUNTIF($O$662:$O$667,"&gt;"&amp;O666)+1</x:f>
        <x:v>2</x:v>
      </x:c>
      <x:c r="Q666" s="83" t="n">
        <x:f>MAX($G$662:$G$667)-G666</x:f>
        <x:v>6.031781701820307</x:v>
      </x:c>
      <x:c r="R666" s="73" t="str">
        <x:f>INDEX(TrackMap!$B$8:$B$141,H666)</x:f>
        <x:v>发车大直道</x:v>
      </x:c>
    </x:row>
    <x:row r="667" ht="20" customHeight="1">
      <x:c r="A667" s="73" t="n">
        <x:v>109</x:v>
      </x:c>
      <x:c r="B667" s="73" t="n">
        <x:v>6</x:v>
      </x:c>
      <x:c r="C667" s="73" t="str">
        <x:f>INDEX(Drivers!$B$8:$B$13,B667)</x:f>
        <x:v>玫速</x:v>
      </x:c>
      <x:c r="D667" s="83" t="n">
        <x:f>G661</x:f>
        <x:v>369.97819717455064</x:v>
      </x:c>
      <x:c r="E667" s="83" t="str">
        <x:f>IF(A667=0,"GRID",IF(D667&gt;=Control!$B$17,"FINISHED",IF(AND(A667&gt;=INDEX(Drivers!$G$8:$G$13,B667),A667&lt;INDEX(Drivers!$G$8:$G$13,B667)+INDEX(Drivers!$J$8:$J$13,B667)),"PIT",IF(MOD(A667+INDEX(Drivers!$F$8:$F$13,B667),Control!$B$11)&lt;Control!$B$13,"BOOST","RACE"))))</x:f>
        <x:v>RACE</x:v>
      </x:c>
      <x:c r="F667" s="83" t="n">
        <x:f>IF(OR(E667="GRID",E667="FINISHED",E667="PIT"),0,MAX(Control!$B$15,(INDEX(Drivers!$D$8:$D$13,B667)+INDEX(Drivers!$E$8:$E$13,B667)*SIN((A667+INDEX(Drivers!$F$8:$F$13,B667)+Control!$B$16)*Control!$B$14))*INDEX(TrackMap!$M$8:$M$141,MOD(INT(D667)-1,Control!$B$7)+1)*IF(E667="BOOST",Control!$B$12,1)))</x:f>
        <x:v>2.5741342089380628</x:v>
      </x:c>
      <x:c r="G667" s="83" t="n">
        <x:f>IF(A667=0,D667,MIN(Control!$B$17,D667+F667))</x:f>
        <x:v>372.5523313834887</x:v>
      </x:c>
      <x:c r="H667" s="73" t="n">
        <x:f>MOD(INT(G667)-1,Control!$B$7)+1</x:f>
        <x:v>104</x:v>
      </x:c>
      <x:c r="I667" s="73" t="n">
        <x:f>MIN(Control!$B$6,MAX(1,INT(MAX(0,G667)/Control!$B$7)+1))</x:f>
        <x:v>3</x:v>
      </x:c>
      <x:c r="J667" s="73" t="n">
        <x:f>INDEX(Drivers!$H$8:$H$13,B667)</x:f>
        <x:v>2</x:v>
      </x:c>
      <x:c r="K667" s="73" t="n">
        <x:f>IF(J667=1,INDEX(TrackMap!$I$8:$I$141,H667),INDEX(TrackMap!$L$8:$L$141,H667))</x:f>
        <x:v>3047</x:v>
      </x:c>
      <x:c r="L667" s="73" t="str">
        <x:f>INDEX(TrackMap!$F$8:$F$141,H667)</x:f>
        <x:v>←</x:v>
      </x:c>
      <x:c r="M667" s="87" t="n">
        <x:f>MAX(0,G667/Control!$B$17)</x:f>
        <x:v>0.5560482557962518</x:v>
      </x:c>
      <x:c r="N667" s="73" t="n">
        <x:f>IF(N661&gt;0,N661,IF(G667&gt;=Control!$B$17,A667,0))</x:f>
        <x:v>0</x:v>
      </x:c>
      <x:c r="O667" s="91" t="n">
        <x:f>IF(N667&gt;0,Control!$B$17+Control!$B$8+1-N667,G667)-B667/100000</x:f>
        <x:v>372.5522713834887</x:v>
      </x:c>
      <x:c r="P667" s="73" t="n">
        <x:f>COUNTIF($O$662:$O$667,"&gt;"&amp;O667)+1</x:f>
        <x:v>3</x:v>
      </x:c>
      <x:c r="Q667" s="83" t="n">
        <x:f>MAX($G$662:$G$667)-G667</x:f>
        <x:v>9.27263094847126</x:v>
      </x:c>
      <x:c r="R667" s="73" t="str">
        <x:f>INDEX(TrackMap!$B$8:$B$141,H667)</x:f>
        <x:v>发车大直道</x:v>
      </x:c>
    </x:row>
    <x:row r="668" ht="20" customHeight="1">
      <x:c r="A668" s="73" t="n">
        <x:v>110</x:v>
      </x:c>
      <x:c r="B668" s="73" t="n">
        <x:v>1</x:v>
      </x:c>
      <x:c r="C668" s="73" t="str">
        <x:f>INDEX(Drivers!$B$8:$B$13,B668)</x:f>
        <x:v>赤焰</x:v>
      </x:c>
      <x:c r="D668" s="83" t="n">
        <x:f>G662</x:f>
        <x:v>370.0337189186933</x:v>
      </x:c>
      <x:c r="E668" s="83" t="str">
        <x:f>IF(A668=0,"GRID",IF(D668&gt;=Control!$B$17,"FINISHED",IF(AND(A668&gt;=INDEX(Drivers!$G$8:$G$13,B668),A668&lt;INDEX(Drivers!$G$8:$G$13,B668)+INDEX(Drivers!$J$8:$J$13,B668)),"PIT",IF(MOD(A668+INDEX(Drivers!$F$8:$F$13,B668),Control!$B$11)&lt;Control!$B$13,"BOOST","RACE"))))</x:f>
        <x:v>RACE</x:v>
      </x:c>
      <x:c r="F668" s="83" t="n">
        <x:f>IF(OR(E668="GRID",E668="FINISHED",E668="PIT"),0,MAX(Control!$B$15,(INDEX(Drivers!$D$8:$D$13,B668)+INDEX(Drivers!$E$8:$E$13,B668)*SIN((A668+INDEX(Drivers!$F$8:$F$13,B668)+Control!$B$16)*Control!$B$14))*INDEX(TrackMap!$M$8:$M$141,MOD(INT(D668)-1,Control!$B$7)+1)*IF(E668="BOOST",Control!$B$12,1)))</x:f>
        <x:v>3.253280260807223</x:v>
      </x:c>
      <x:c r="G668" s="83" t="n">
        <x:f>IF(A668=0,D668,MIN(Control!$B$17,D668+F668))</x:f>
        <x:v>373.2869991795005</x:v>
      </x:c>
      <x:c r="H668" s="73" t="n">
        <x:f>MOD(INT(G668)-1,Control!$B$7)+1</x:f>
        <x:v>105</x:v>
      </x:c>
      <x:c r="I668" s="73" t="n">
        <x:f>MIN(Control!$B$6,MAX(1,INT(MAX(0,G668)/Control!$B$7)+1))</x:f>
        <x:v>3</x:v>
      </x:c>
      <x:c r="J668" s="73" t="n">
        <x:f>INDEX(Drivers!$H$8:$H$13,B668)</x:f>
        <x:v>1</x:v>
      </x:c>
      <x:c r="K668" s="73" t="n">
        <x:f>IF(J668=1,INDEX(TrackMap!$I$8:$I$141,H668),INDEX(TrackMap!$L$8:$L$141,H668))</x:f>
        <x:v>3146</x:v>
      </x:c>
      <x:c r="L668" s="73" t="str">
        <x:f>INDEX(TrackMap!$F$8:$F$141,H668)</x:f>
        <x:v>←</x:v>
      </x:c>
      <x:c r="M668" s="87" t="n">
        <x:f>MAX(0,G668/Control!$B$17)</x:f>
        <x:v>0.5571447748947769</x:v>
      </x:c>
      <x:c r="N668" s="73" t="n">
        <x:f>IF(N662&gt;0,N662,IF(G668&gt;=Control!$B$17,A668,0))</x:f>
        <x:v>0</x:v>
      </x:c>
      <x:c r="O668" s="91" t="n">
        <x:f>IF(N668&gt;0,Control!$B$17+Control!$B$8+1-N668,G668)-B668/100000</x:f>
        <x:v>373.28698917950055</x:v>
      </x:c>
      <x:c r="P668" s="73" t="n">
        <x:f>COUNTIF($O$668:$O$673,"&gt;"&amp;O668)+1</x:f>
        <x:v>5</x:v>
      </x:c>
      <x:c r="Q668" s="83" t="n">
        <x:f>MAX($G$668:$G$673)-G668</x:f>
        <x:v>14.014592975844153</x:v>
      </x:c>
      <x:c r="R668" s="73" t="str">
        <x:f>INDEX(TrackMap!$B$8:$B$141,H668)</x:f>
        <x:v>发车大直道</x:v>
      </x:c>
    </x:row>
    <x:row r="669" ht="20" customHeight="1">
      <x:c r="A669" s="73" t="n">
        <x:v>110</x:v>
      </x:c>
      <x:c r="B669" s="73" t="n">
        <x:v>2</x:v>
      </x:c>
      <x:c r="C669" s="73" t="str">
        <x:f>INDEX(Drivers!$B$8:$B$13,B669)</x:f>
        <x:v>蓝电</x:v>
      </x:c>
      <x:c r="D669" s="83" t="n">
        <x:f>G663</x:f>
        <x:v>371.6617259217708</x:v>
      </x:c>
      <x:c r="E669" s="83" t="str">
        <x:f>IF(A669=0,"GRID",IF(D669&gt;=Control!$B$17,"FINISHED",IF(AND(A669&gt;=INDEX(Drivers!$G$8:$G$13,B669),A669&lt;INDEX(Drivers!$G$8:$G$13,B669)+INDEX(Drivers!$J$8:$J$13,B669)),"PIT",IF(MOD(A669+INDEX(Drivers!$F$8:$F$13,B669),Control!$B$11)&lt;Control!$B$13,"BOOST","RACE"))))</x:f>
        <x:v>RACE</x:v>
      </x:c>
      <x:c r="F669" s="83" t="n">
        <x:f>IF(OR(E669="GRID",E669="FINISHED",E669="PIT"),0,MAX(Control!$B$15,(INDEX(Drivers!$D$8:$D$13,B669)+INDEX(Drivers!$E$8:$E$13,B669)*SIN((A669+INDEX(Drivers!$F$8:$F$13,B669)+Control!$B$16)*Control!$B$14))*INDEX(TrackMap!$M$8:$M$141,MOD(INT(D669)-1,Control!$B$7)+1)*IF(E669="BOOST",Control!$B$12,1)))</x:f>
        <x:v>2.99508154881816</x:v>
      </x:c>
      <x:c r="G669" s="83" t="n">
        <x:f>IF(A669=0,D669,MIN(Control!$B$17,D669+F669))</x:f>
        <x:v>374.656807470589</x:v>
      </x:c>
      <x:c r="H669" s="73" t="n">
        <x:f>MOD(INT(G669)-1,Control!$B$7)+1</x:f>
        <x:v>106</x:v>
      </x:c>
      <x:c r="I669" s="73" t="n">
        <x:f>MIN(Control!$B$6,MAX(1,INT(MAX(0,G669)/Control!$B$7)+1))</x:f>
        <x:v>3</x:v>
      </x:c>
      <x:c r="J669" s="73" t="n">
        <x:f>INDEX(Drivers!$H$8:$H$13,B669)</x:f>
        <x:v>2</x:v>
      </x:c>
      <x:c r="K669" s="73" t="n">
        <x:f>IF(J669=1,INDEX(TrackMap!$I$8:$I$141,H669),INDEX(TrackMap!$L$8:$L$141,H669))</x:f>
        <x:v>3045</x:v>
      </x:c>
      <x:c r="L669" s="73" t="str">
        <x:f>INDEX(TrackMap!$F$8:$F$141,H669)</x:f>
        <x:v>←</x:v>
      </x:c>
      <x:c r="M669" s="87" t="n">
        <x:f>MAX(0,G669/Control!$B$17)</x:f>
        <x:v>0.5591892648814761</x:v>
      </x:c>
      <x:c r="N669" s="73" t="n">
        <x:f>IF(N663&gt;0,N663,IF(G669&gt;=Control!$B$17,A669,0))</x:f>
        <x:v>0</x:v>
      </x:c>
      <x:c r="O669" s="91" t="n">
        <x:f>IF(N669&gt;0,Control!$B$17+Control!$B$8+1-N669,G669)-B669/100000</x:f>
        <x:v>374.656787470589</x:v>
      </x:c>
      <x:c r="P669" s="73" t="n">
        <x:f>COUNTIF($O$668:$O$673,"&gt;"&amp;O669)+1</x:f>
        <x:v>4</x:v>
      </x:c>
      <x:c r="Q669" s="83" t="n">
        <x:f>MAX($G$668:$G$673)-G669</x:f>
        <x:v>12.644784684755678</x:v>
      </x:c>
      <x:c r="R669" s="73" t="str">
        <x:f>INDEX(TrackMap!$B$8:$B$141,H669)</x:f>
        <x:v>发车大直道</x:v>
      </x:c>
    </x:row>
    <x:row r="670" ht="20" customHeight="1">
      <x:c r="A670" s="73" t="n">
        <x:v>110</x:v>
      </x:c>
      <x:c r="B670" s="73" t="n">
        <x:v>3</x:v>
      </x:c>
      <x:c r="C670" s="73" t="str">
        <x:f>INDEX(Drivers!$B$8:$B$13,B670)</x:f>
        <x:v>金翼</x:v>
      </x:c>
      <x:c r="D670" s="83" t="n">
        <x:f>G664</x:f>
        <x:v>381.82496233195997</x:v>
      </x:c>
      <x:c r="E670" s="83" t="str">
        <x:f>IF(A670=0,"GRID",IF(D670&gt;=Control!$B$17,"FINISHED",IF(AND(A670&gt;=INDEX(Drivers!$G$8:$G$13,B670),A670&lt;INDEX(Drivers!$G$8:$G$13,B670)+INDEX(Drivers!$J$8:$J$13,B670)),"PIT",IF(MOD(A670+INDEX(Drivers!$F$8:$F$13,B670),Control!$B$11)&lt;Control!$B$13,"BOOST","RACE"))))</x:f>
        <x:v>BOOST</x:v>
      </x:c>
      <x:c r="F670" s="83" t="n">
        <x:f>IF(OR(E670="GRID",E670="FINISHED",E670="PIT"),0,MAX(Control!$B$15,(INDEX(Drivers!$D$8:$D$13,B670)+INDEX(Drivers!$E$8:$E$13,B670)*SIN((A670+INDEX(Drivers!$F$8:$F$13,B670)+Control!$B$16)*Control!$B$14))*INDEX(TrackMap!$M$8:$M$141,MOD(INT(D670)-1,Control!$B$7)+1)*IF(E670="BOOST",Control!$B$12,1)))</x:f>
        <x:v>5.47662982338473</x:v>
      </x:c>
      <x:c r="G670" s="83" t="n">
        <x:f>IF(A670=0,D670,MIN(Control!$B$17,D670+F670))</x:f>
        <x:v>387.3015921553447</x:v>
      </x:c>
      <x:c r="H670" s="73" t="n">
        <x:f>MOD(INT(G670)-1,Control!$B$7)+1</x:f>
        <x:v>119</x:v>
      </x:c>
      <x:c r="I670" s="73" t="n">
        <x:f>MIN(Control!$B$6,MAX(1,INT(MAX(0,G670)/Control!$B$7)+1))</x:f>
        <x:v>3</x:v>
      </x:c>
      <x:c r="J670" s="73" t="n">
        <x:f>INDEX(Drivers!$H$8:$H$13,B670)</x:f>
        <x:v>1</x:v>
      </x:c>
      <x:c r="K670" s="73" t="n">
        <x:f>IF(J670=1,INDEX(TrackMap!$I$8:$I$141,H670),INDEX(TrackMap!$L$8:$L$141,H670))</x:f>
        <x:v>3132</x:v>
      </x:c>
      <x:c r="L670" s="73" t="str">
        <x:f>INDEX(TrackMap!$F$8:$F$141,H670)</x:f>
        <x:v>←</x:v>
      </x:c>
      <x:c r="M670" s="87" t="n">
        <x:f>MAX(0,G670/Control!$B$17)</x:f>
        <x:v>0.578062077843798</x:v>
      </x:c>
      <x:c r="N670" s="73" t="n">
        <x:f>IF(N664&gt;0,N664,IF(G670&gt;=Control!$B$17,A670,0))</x:f>
        <x:v>0</x:v>
      </x:c>
      <x:c r="O670" s="91" t="n">
        <x:f>IF(N670&gt;0,Control!$B$17+Control!$B$8+1-N670,G670)-B670/100000</x:f>
        <x:v>387.3015621553447</x:v>
      </x:c>
      <x:c r="P670" s="73" t="n">
        <x:f>COUNTIF($O$668:$O$673,"&gt;"&amp;O670)+1</x:f>
        <x:v>1</x:v>
      </x:c>
      <x:c r="Q670" s="83" t="n">
        <x:f>MAX($G$668:$G$673)-G670</x:f>
        <x:v>0</x:v>
      </x:c>
      <x:c r="R670" s="73" t="str">
        <x:f>INDEX(TrackMap!$B$8:$B$141,H670)</x:f>
        <x:v>发车大直道</x:v>
      </x:c>
    </x:row>
    <x:row r="671" ht="20" customHeight="1">
      <x:c r="A671" s="73" t="n">
        <x:v>110</x:v>
      </x:c>
      <x:c r="B671" s="73" t="n">
        <x:v>4</x:v>
      </x:c>
      <x:c r="C671" s="73" t="str">
        <x:f>INDEX(Drivers!$B$8:$B$13,B671)</x:f>
        <x:v>紫影</x:v>
      </x:c>
      <x:c r="D671" s="83" t="n">
        <x:f>G665</x:f>
        <x:v>363.1207975002569</x:v>
      </x:c>
      <x:c r="E671" s="83" t="str">
        <x:f>IF(A671=0,"GRID",IF(D671&gt;=Control!$B$17,"FINISHED",IF(AND(A671&gt;=INDEX(Drivers!$G$8:$G$13,B671),A671&lt;INDEX(Drivers!$G$8:$G$13,B671)+INDEX(Drivers!$J$8:$J$13,B671)),"PIT",IF(MOD(A671+INDEX(Drivers!$F$8:$F$13,B671),Control!$B$11)&lt;Control!$B$13,"BOOST","RACE"))))</x:f>
        <x:v>RACE</x:v>
      </x:c>
      <x:c r="F671" s="83" t="n">
        <x:f>IF(OR(E671="GRID",E671="FINISHED",E671="PIT"),0,MAX(Control!$B$15,(INDEX(Drivers!$D$8:$D$13,B671)+INDEX(Drivers!$E$8:$E$13,B671)*SIN((A671+INDEX(Drivers!$F$8:$F$13,B671)+Control!$B$16)*Control!$B$14))*INDEX(TrackMap!$M$8:$M$141,MOD(INT(D671)-1,Control!$B$7)+1)*IF(E671="BOOST",Control!$B$12,1)))</x:f>
        <x:v>3.4604852564233064</x:v>
      </x:c>
      <x:c r="G671" s="83" t="n">
        <x:f>IF(A671=0,D671,MIN(Control!$B$17,D671+F671))</x:f>
        <x:v>366.5812827566802</x:v>
      </x:c>
      <x:c r="H671" s="73" t="n">
        <x:f>MOD(INT(G671)-1,Control!$B$7)+1</x:f>
        <x:v>98</x:v>
      </x:c>
      <x:c r="I671" s="73" t="n">
        <x:f>MIN(Control!$B$6,MAX(1,INT(MAX(0,G671)/Control!$B$7)+1))</x:f>
        <x:v>3</x:v>
      </x:c>
      <x:c r="J671" s="73" t="n">
        <x:f>INDEX(Drivers!$H$8:$H$13,B671)</x:f>
        <x:v>2</x:v>
      </x:c>
      <x:c r="K671" s="73" t="n">
        <x:f>IF(J671=1,INDEX(TrackMap!$I$8:$I$141,H671),INDEX(TrackMap!$L$8:$L$141,H671))</x:f>
        <x:v>2751</x:v>
      </x:c>
      <x:c r="L671" s="73" t="str">
        <x:f>INDEX(TrackMap!$F$8:$F$141,H671)</x:f>
        <x:v>↓</x:v>
      </x:c>
      <x:c r="M671" s="87" t="n">
        <x:f>MAX(0,G671/Control!$B$17)</x:f>
        <x:v>0.5471362429204182</x:v>
      </x:c>
      <x:c r="N671" s="73" t="n">
        <x:f>IF(N665&gt;0,N665,IF(G671&gt;=Control!$B$17,A671,0))</x:f>
        <x:v>0</x:v>
      </x:c>
      <x:c r="O671" s="91" t="n">
        <x:f>IF(N671&gt;0,Control!$B$17+Control!$B$8+1-N671,G671)-B671/100000</x:f>
        <x:v>366.5812427566802</x:v>
      </x:c>
      <x:c r="P671" s="73" t="n">
        <x:f>COUNTIF($O$668:$O$673,"&gt;"&amp;O671)+1</x:f>
        <x:v>6</x:v>
      </x:c>
      <x:c r="Q671" s="83" t="n">
        <x:f>MAX($G$668:$G$673)-G671</x:f>
        <x:v>20.720309398664483</x:v>
      </x:c>
      <x:c r="R671" s="73" t="str">
        <x:f>INDEX(TrackMap!$B$8:$B$141,H671)</x:f>
        <x:v>东侧长直道</x:v>
      </x:c>
    </x:row>
    <x:row r="672" ht="20" customHeight="1">
      <x:c r="A672" s="73" t="n">
        <x:v>110</x:v>
      </x:c>
      <x:c r="B672" s="73" t="n">
        <x:v>5</x:v>
      </x:c>
      <x:c r="C672" s="73" t="str">
        <x:f>INDEX(Drivers!$B$8:$B$13,B672)</x:f>
        <x:v>青锋</x:v>
      </x:c>
      <x:c r="D672" s="83" t="n">
        <x:f>G666</x:f>
        <x:v>375.79318063013966</x:v>
      </x:c>
      <x:c r="E672" s="83" t="str">
        <x:f>IF(A672=0,"GRID",IF(D672&gt;=Control!$B$17,"FINISHED",IF(AND(A672&gt;=INDEX(Drivers!$G$8:$G$13,B672),A672&lt;INDEX(Drivers!$G$8:$G$13,B672)+INDEX(Drivers!$J$8:$J$13,B672)),"PIT",IF(MOD(A672+INDEX(Drivers!$F$8:$F$13,B672),Control!$B$11)&lt;Control!$B$13,"BOOST","RACE"))))</x:f>
        <x:v>RACE</x:v>
      </x:c>
      <x:c r="F672" s="83" t="n">
        <x:f>IF(OR(E672="GRID",E672="FINISHED",E672="PIT"),0,MAX(Control!$B$15,(INDEX(Drivers!$D$8:$D$13,B672)+INDEX(Drivers!$E$8:$E$13,B672)*SIN((A672+INDEX(Drivers!$F$8:$F$13,B672)+Control!$B$16)*Control!$B$14))*INDEX(TrackMap!$M$8:$M$141,MOD(INT(D672)-1,Control!$B$7)+1)*IF(E672="BOOST",Control!$B$12,1)))</x:f>
        <x:v>3.5083602877916475</x:v>
      </x:c>
      <x:c r="G672" s="83" t="n">
        <x:f>IF(A672=0,D672,MIN(Control!$B$17,D672+F672))</x:f>
        <x:v>379.30154091793133</x:v>
      </x:c>
      <x:c r="H672" s="73" t="n">
        <x:f>MOD(INT(G672)-1,Control!$B$7)+1</x:f>
        <x:v>111</x:v>
      </x:c>
      <x:c r="I672" s="73" t="n">
        <x:f>MIN(Control!$B$6,MAX(1,INT(MAX(0,G672)/Control!$B$7)+1))</x:f>
        <x:v>3</x:v>
      </x:c>
      <x:c r="J672" s="73" t="n">
        <x:f>INDEX(Drivers!$H$8:$H$13,B672)</x:f>
        <x:v>1</x:v>
      </x:c>
      <x:c r="K672" s="73" t="n">
        <x:f>IF(J672=1,INDEX(TrackMap!$I$8:$I$141,H672),INDEX(TrackMap!$L$8:$L$141,H672))</x:f>
        <x:v>3140</x:v>
      </x:c>
      <x:c r="L672" s="73" t="str">
        <x:f>INDEX(TrackMap!$F$8:$F$141,H672)</x:f>
        <x:v>←</x:v>
      </x:c>
      <x:c r="M672" s="87" t="n">
        <x:f>MAX(0,G672/Control!$B$17)</x:f>
        <x:v>0.5661217028625841</x:v>
      </x:c>
      <x:c r="N672" s="73" t="n">
        <x:f>IF(N666&gt;0,N666,IF(G672&gt;=Control!$B$17,A672,0))</x:f>
        <x:v>0</x:v>
      </x:c>
      <x:c r="O672" s="91" t="n">
        <x:f>IF(N672&gt;0,Control!$B$17+Control!$B$8+1-N672,G672)-B672/100000</x:f>
        <x:v>379.30149091793135</x:v>
      </x:c>
      <x:c r="P672" s="73" t="n">
        <x:f>COUNTIF($O$668:$O$673,"&gt;"&amp;O672)+1</x:f>
        <x:v>2</x:v>
      </x:c>
      <x:c r="Q672" s="83" t="n">
        <x:f>MAX($G$668:$G$673)-G672</x:f>
        <x:v>8.000051237413345</x:v>
      </x:c>
      <x:c r="R672" s="73" t="str">
        <x:f>INDEX(TrackMap!$B$8:$B$141,H672)</x:f>
        <x:v>发车大直道</x:v>
      </x:c>
    </x:row>
    <x:row r="673" ht="20" customHeight="1">
      <x:c r="A673" s="73" t="n">
        <x:v>110</x:v>
      </x:c>
      <x:c r="B673" s="73" t="n">
        <x:v>6</x:v>
      </x:c>
      <x:c r="C673" s="73" t="str">
        <x:f>INDEX(Drivers!$B$8:$B$13,B673)</x:f>
        <x:v>玫速</x:v>
      </x:c>
      <x:c r="D673" s="83" t="n">
        <x:f>G667</x:f>
        <x:v>372.5523313834887</x:v>
      </x:c>
      <x:c r="E673" s="83" t="str">
        <x:f>IF(A673=0,"GRID",IF(D673&gt;=Control!$B$17,"FINISHED",IF(AND(A673&gt;=INDEX(Drivers!$G$8:$G$13,B673),A673&lt;INDEX(Drivers!$G$8:$G$13,B673)+INDEX(Drivers!$J$8:$J$13,B673)),"PIT",IF(MOD(A673+INDEX(Drivers!$F$8:$F$13,B673),Control!$B$11)&lt;Control!$B$13,"BOOST","RACE"))))</x:f>
        <x:v>BOOST</x:v>
      </x:c>
      <x:c r="F673" s="83" t="n">
        <x:f>IF(OR(E673="GRID",E673="FINISHED",E673="PIT"),0,MAX(Control!$B$15,(INDEX(Drivers!$D$8:$D$13,B673)+INDEX(Drivers!$E$8:$E$13,B673)*SIN((A673+INDEX(Drivers!$F$8:$F$13,B673)+Control!$B$16)*Control!$B$14))*INDEX(TrackMap!$M$8:$M$141,MOD(INT(D673)-1,Control!$B$7)+1)*IF(E673="BOOST",Control!$B$12,1)))</x:f>
        <x:v>4.716677125311558</x:v>
      </x:c>
      <x:c r="G673" s="83" t="n">
        <x:f>IF(A673=0,D673,MIN(Control!$B$17,D673+F673))</x:f>
        <x:v>377.26900850880025</x:v>
      </x:c>
      <x:c r="H673" s="73" t="n">
        <x:f>MOD(INT(G673)-1,Control!$B$7)+1</x:f>
        <x:v>109</x:v>
      </x:c>
      <x:c r="I673" s="73" t="n">
        <x:f>MIN(Control!$B$6,MAX(1,INT(MAX(0,G673)/Control!$B$7)+1))</x:f>
        <x:v>3</x:v>
      </x:c>
      <x:c r="J673" s="73" t="n">
        <x:f>INDEX(Drivers!$H$8:$H$13,B673)</x:f>
        <x:v>2</x:v>
      </x:c>
      <x:c r="K673" s="73" t="n">
        <x:f>IF(J673=1,INDEX(TrackMap!$I$8:$I$141,H673),INDEX(TrackMap!$L$8:$L$141,H673))</x:f>
        <x:v>3042</x:v>
      </x:c>
      <x:c r="L673" s="73" t="str">
        <x:f>INDEX(TrackMap!$F$8:$F$141,H673)</x:f>
        <x:v>←</x:v>
      </x:c>
      <x:c r="M673" s="87" t="n">
        <x:f>MAX(0,G673/Control!$B$17)</x:f>
        <x:v>0.5630880724011944</x:v>
      </x:c>
      <x:c r="N673" s="73" t="n">
        <x:f>IF(N667&gt;0,N667,IF(G673&gt;=Control!$B$17,A673,0))</x:f>
        <x:v>0</x:v>
      </x:c>
      <x:c r="O673" s="91" t="n">
        <x:f>IF(N673&gt;0,Control!$B$17+Control!$B$8+1-N673,G673)-B673/100000</x:f>
        <x:v>377.26894850880024</x:v>
      </x:c>
      <x:c r="P673" s="73" t="n">
        <x:f>COUNTIF($O$668:$O$673,"&gt;"&amp;O673)+1</x:f>
        <x:v>3</x:v>
      </x:c>
      <x:c r="Q673" s="83" t="n">
        <x:f>MAX($G$668:$G$673)-G673</x:f>
        <x:v>10.032583646544424</x:v>
      </x:c>
      <x:c r="R673" s="73" t="str">
        <x:f>INDEX(TrackMap!$B$8:$B$141,H673)</x:f>
        <x:v>发车大直道</x:v>
      </x:c>
    </x:row>
    <x:row r="674" ht="20" customHeight="1">
      <x:c r="A674" s="73" t="n">
        <x:v>111</x:v>
      </x:c>
      <x:c r="B674" s="73" t="n">
        <x:v>1</x:v>
      </x:c>
      <x:c r="C674" s="73" t="str">
        <x:f>INDEX(Drivers!$B$8:$B$13,B674)</x:f>
        <x:v>赤焰</x:v>
      </x:c>
      <x:c r="D674" s="83" t="n">
        <x:f>G668</x:f>
        <x:v>373.2869991795005</x:v>
      </x:c>
      <x:c r="E674" s="83" t="str">
        <x:f>IF(A674=0,"GRID",IF(D674&gt;=Control!$B$17,"FINISHED",IF(AND(A674&gt;=INDEX(Drivers!$G$8:$G$13,B674),A674&lt;INDEX(Drivers!$G$8:$G$13,B674)+INDEX(Drivers!$J$8:$J$13,B674)),"PIT",IF(MOD(A674+INDEX(Drivers!$F$8:$F$13,B674),Control!$B$11)&lt;Control!$B$13,"BOOST","RACE"))))</x:f>
        <x:v>RACE</x:v>
      </x:c>
      <x:c r="F674" s="83" t="n">
        <x:f>IF(OR(E674="GRID",E674="FINISHED",E674="PIT"),0,MAX(Control!$B$15,(INDEX(Drivers!$D$8:$D$13,B674)+INDEX(Drivers!$E$8:$E$13,B674)*SIN((A674+INDEX(Drivers!$F$8:$F$13,B674)+Control!$B$16)*Control!$B$14))*INDEX(TrackMap!$M$8:$M$141,MOD(INT(D674)-1,Control!$B$7)+1)*IF(E674="BOOST",Control!$B$12,1)))</x:f>
        <x:v>4.071757268418129</x:v>
      </x:c>
      <x:c r="G674" s="83" t="n">
        <x:f>IF(A674=0,D674,MIN(Control!$B$17,D674+F674))</x:f>
        <x:v>377.35875644791867</x:v>
      </x:c>
      <x:c r="H674" s="73" t="n">
        <x:f>MOD(INT(G674)-1,Control!$B$7)+1</x:f>
        <x:v>109</x:v>
      </x:c>
      <x:c r="I674" s="73" t="n">
        <x:f>MIN(Control!$B$6,MAX(1,INT(MAX(0,G674)/Control!$B$7)+1))</x:f>
        <x:v>3</x:v>
      </x:c>
      <x:c r="J674" s="73" t="n">
        <x:f>INDEX(Drivers!$H$8:$H$13,B674)</x:f>
        <x:v>1</x:v>
      </x:c>
      <x:c r="K674" s="73" t="n">
        <x:f>IF(J674=1,INDEX(TrackMap!$I$8:$I$141,H674),INDEX(TrackMap!$L$8:$L$141,H674))</x:f>
        <x:v>3142</x:v>
      </x:c>
      <x:c r="L674" s="73" t="str">
        <x:f>INDEX(TrackMap!$F$8:$F$141,H674)</x:f>
        <x:v>←</x:v>
      </x:c>
      <x:c r="M674" s="87" t="n">
        <x:f>MAX(0,G674/Control!$B$17)</x:f>
        <x:v>0.5632220245491323</x:v>
      </x:c>
      <x:c r="N674" s="73" t="n">
        <x:f>IF(N668&gt;0,N668,IF(G674&gt;=Control!$B$17,A674,0))</x:f>
        <x:v>0</x:v>
      </x:c>
      <x:c r="O674" s="91" t="n">
        <x:f>IF(N674&gt;0,Control!$B$17+Control!$B$8+1-N674,G674)-B674/100000</x:f>
        <x:v>377.3587464479187</x:v>
      </x:c>
      <x:c r="P674" s="73" t="n">
        <x:f>COUNTIF($O$674:$O$679,"&gt;"&amp;O674)+1</x:f>
        <x:v>5</x:v>
      </x:c>
      <x:c r="Q674" s="83" t="n">
        <x:f>MAX($G$674:$G$679)-G674</x:f>
        <x:v>15.557889209483847</x:v>
      </x:c>
      <x:c r="R674" s="73" t="str">
        <x:f>INDEX(TrackMap!$B$8:$B$141,H674)</x:f>
        <x:v>发车大直道</x:v>
      </x:c>
    </x:row>
    <x:row r="675" ht="20" customHeight="1">
      <x:c r="A675" s="73" t="n">
        <x:v>111</x:v>
      </x:c>
      <x:c r="B675" s="73" t="n">
        <x:v>2</x:v>
      </x:c>
      <x:c r="C675" s="73" t="str">
        <x:f>INDEX(Drivers!$B$8:$B$13,B675)</x:f>
        <x:v>蓝电</x:v>
      </x:c>
      <x:c r="D675" s="83" t="n">
        <x:f>G669</x:f>
        <x:v>374.656807470589</x:v>
      </x:c>
      <x:c r="E675" s="83" t="str">
        <x:f>IF(A675=0,"GRID",IF(D675&gt;=Control!$B$17,"FINISHED",IF(AND(A675&gt;=INDEX(Drivers!$G$8:$G$13,B675),A675&lt;INDEX(Drivers!$G$8:$G$13,B675)+INDEX(Drivers!$J$8:$J$13,B675)),"PIT",IF(MOD(A675+INDEX(Drivers!$F$8:$F$13,B675),Control!$B$11)&lt;Control!$B$13,"BOOST","RACE"))))</x:f>
        <x:v>RACE</x:v>
      </x:c>
      <x:c r="F675" s="83" t="n">
        <x:f>IF(OR(E675="GRID",E675="FINISHED",E675="PIT"),0,MAX(Control!$B$15,(INDEX(Drivers!$D$8:$D$13,B675)+INDEX(Drivers!$E$8:$E$13,B675)*SIN((A675+INDEX(Drivers!$F$8:$F$13,B675)+Control!$B$16)*Control!$B$14))*INDEX(TrackMap!$M$8:$M$141,MOD(INT(D675)-1,Control!$B$7)+1)*IF(E675="BOOST",Control!$B$12,1)))</x:f>
        <x:v>2.9863236967678706</x:v>
      </x:c>
      <x:c r="G675" s="83" t="n">
        <x:f>IF(A675=0,D675,MIN(Control!$B$17,D675+F675))</x:f>
        <x:v>377.6431311673569</x:v>
      </x:c>
      <x:c r="H675" s="73" t="n">
        <x:f>MOD(INT(G675)-1,Control!$B$7)+1</x:f>
        <x:v>109</x:v>
      </x:c>
      <x:c r="I675" s="73" t="n">
        <x:f>MIN(Control!$B$6,MAX(1,INT(MAX(0,G675)/Control!$B$7)+1))</x:f>
        <x:v>3</x:v>
      </x:c>
      <x:c r="J675" s="73" t="n">
        <x:f>INDEX(Drivers!$H$8:$H$13,B675)</x:f>
        <x:v>2</x:v>
      </x:c>
      <x:c r="K675" s="73" t="n">
        <x:f>IF(J675=1,INDEX(TrackMap!$I$8:$I$141,H675),INDEX(TrackMap!$L$8:$L$141,H675))</x:f>
        <x:v>3042</x:v>
      </x:c>
      <x:c r="L675" s="73" t="str">
        <x:f>INDEX(TrackMap!$F$8:$F$141,H675)</x:f>
        <x:v>←</x:v>
      </x:c>
      <x:c r="M675" s="87" t="n">
        <x:f>MAX(0,G675/Control!$B$17)</x:f>
        <x:v>0.5636464644288909</x:v>
      </x:c>
      <x:c r="N675" s="73" t="n">
        <x:f>IF(N669&gt;0,N669,IF(G675&gt;=Control!$B$17,A675,0))</x:f>
        <x:v>0</x:v>
      </x:c>
      <x:c r="O675" s="91" t="n">
        <x:f>IF(N675&gt;0,Control!$B$17+Control!$B$8+1-N675,G675)-B675/100000</x:f>
        <x:v>377.6431111673569</x:v>
      </x:c>
      <x:c r="P675" s="73" t="n">
        <x:f>COUNTIF($O$674:$O$679,"&gt;"&amp;O675)+1</x:f>
        <x:v>4</x:v>
      </x:c>
      <x:c r="Q675" s="83" t="n">
        <x:f>MAX($G$674:$G$679)-G675</x:f>
        <x:v>15.273514490045613</x:v>
      </x:c>
      <x:c r="R675" s="73" t="str">
        <x:f>INDEX(TrackMap!$B$8:$B$141,H675)</x:f>
        <x:v>发车大直道</x:v>
      </x:c>
    </x:row>
    <x:row r="676" ht="20" customHeight="1">
      <x:c r="A676" s="73" t="n">
        <x:v>111</x:v>
      </x:c>
      <x:c r="B676" s="73" t="n">
        <x:v>3</x:v>
      </x:c>
      <x:c r="C676" s="73" t="str">
        <x:f>INDEX(Drivers!$B$8:$B$13,B676)</x:f>
        <x:v>金翼</x:v>
      </x:c>
      <x:c r="D676" s="83" t="n">
        <x:f>G670</x:f>
        <x:v>387.3015921553447</x:v>
      </x:c>
      <x:c r="E676" s="83" t="str">
        <x:f>IF(A676=0,"GRID",IF(D676&gt;=Control!$B$17,"FINISHED",IF(AND(A676&gt;=INDEX(Drivers!$G$8:$G$13,B676),A676&lt;INDEX(Drivers!$G$8:$G$13,B676)+INDEX(Drivers!$J$8:$J$13,B676)),"PIT",IF(MOD(A676+INDEX(Drivers!$F$8:$F$13,B676),Control!$B$11)&lt;Control!$B$13,"BOOST","RACE"))))</x:f>
        <x:v>BOOST</x:v>
      </x:c>
      <x:c r="F676" s="83" t="n">
        <x:f>IF(OR(E676="GRID",E676="FINISHED",E676="PIT"),0,MAX(Control!$B$15,(INDEX(Drivers!$D$8:$D$13,B676)+INDEX(Drivers!$E$8:$E$13,B676)*SIN((A676+INDEX(Drivers!$F$8:$F$13,B676)+Control!$B$16)*Control!$B$14))*INDEX(TrackMap!$M$8:$M$141,MOD(INT(D676)-1,Control!$B$7)+1)*IF(E676="BOOST",Control!$B$12,1)))</x:f>
        <x:v>5.615053502057836</x:v>
      </x:c>
      <x:c r="G676" s="83" t="n">
        <x:f>IF(A676=0,D676,MIN(Control!$B$17,D676+F676))</x:f>
        <x:v>392.9166456574025</x:v>
      </x:c>
      <x:c r="H676" s="73" t="n">
        <x:f>MOD(INT(G676)-1,Control!$B$7)+1</x:f>
        <x:v>124</x:v>
      </x:c>
      <x:c r="I676" s="73" t="n">
        <x:f>MIN(Control!$B$6,MAX(1,INT(MAX(0,G676)/Control!$B$7)+1))</x:f>
        <x:v>3</x:v>
      </x:c>
      <x:c r="J676" s="73" t="n">
        <x:f>INDEX(Drivers!$H$8:$H$13,B676)</x:f>
        <x:v>1</x:v>
      </x:c>
      <x:c r="K676" s="73" t="n">
        <x:f>IF(J676=1,INDEX(TrackMap!$I$8:$I$141,H676),INDEX(TrackMap!$L$8:$L$141,H676))</x:f>
        <x:v>3127</x:v>
      </x:c>
      <x:c r="L676" s="73" t="str">
        <x:f>INDEX(TrackMap!$F$8:$F$141,H676)</x:f>
        <x:v>←</x:v>
      </x:c>
      <x:c r="M676" s="87" t="n">
        <x:f>MAX(0,G676/Control!$B$17)</x:f>
        <x:v>0.586442754712541</x:v>
      </x:c>
      <x:c r="N676" s="73" t="n">
        <x:f>IF(N670&gt;0,N670,IF(G676&gt;=Control!$B$17,A676,0))</x:f>
        <x:v>0</x:v>
      </x:c>
      <x:c r="O676" s="91" t="n">
        <x:f>IF(N676&gt;0,Control!$B$17+Control!$B$8+1-N676,G676)-B676/100000</x:f>
        <x:v>392.91661565740253</x:v>
      </x:c>
      <x:c r="P676" s="73" t="n">
        <x:f>COUNTIF($O$674:$O$679,"&gt;"&amp;O676)+1</x:f>
        <x:v>1</x:v>
      </x:c>
      <x:c r="Q676" s="83" t="n">
        <x:f>MAX($G$674:$G$679)-G676</x:f>
        <x:v>0</x:v>
      </x:c>
      <x:c r="R676" s="73" t="str">
        <x:f>INDEX(TrackMap!$B$8:$B$141,H676)</x:f>
        <x:v>发车大直道</x:v>
      </x:c>
    </x:row>
    <x:row r="677" ht="20" customHeight="1">
      <x:c r="A677" s="73" t="n">
        <x:v>111</x:v>
      </x:c>
      <x:c r="B677" s="73" t="n">
        <x:v>4</x:v>
      </x:c>
      <x:c r="C677" s="73" t="str">
        <x:f>INDEX(Drivers!$B$8:$B$13,B677)</x:f>
        <x:v>紫影</x:v>
      </x:c>
      <x:c r="D677" s="83" t="n">
        <x:f>G671</x:f>
        <x:v>366.5812827566802</x:v>
      </x:c>
      <x:c r="E677" s="83" t="str">
        <x:f>IF(A677=0,"GRID",IF(D677&gt;=Control!$B$17,"FINISHED",IF(AND(A677&gt;=INDEX(Drivers!$G$8:$G$13,B677),A677&lt;INDEX(Drivers!$G$8:$G$13,B677)+INDEX(Drivers!$J$8:$J$13,B677)),"PIT",IF(MOD(A677+INDEX(Drivers!$F$8:$F$13,B677),Control!$B$11)&lt;Control!$B$13,"BOOST","RACE"))))</x:f>
        <x:v>RACE</x:v>
      </x:c>
      <x:c r="F677" s="83" t="n">
        <x:f>IF(OR(E677="GRID",E677="FINISHED",E677="PIT"),0,MAX(Control!$B$15,(INDEX(Drivers!$D$8:$D$13,B677)+INDEX(Drivers!$E$8:$E$13,B677)*SIN((A677+INDEX(Drivers!$F$8:$F$13,B677)+Control!$B$16)*Control!$B$14))*INDEX(TrackMap!$M$8:$M$141,MOD(INT(D677)-1,Control!$B$7)+1)*IF(E677="BOOST",Control!$B$12,1)))</x:f>
        <x:v>3.2663478162940076</x:v>
      </x:c>
      <x:c r="G677" s="83" t="n">
        <x:f>IF(A677=0,D677,MIN(Control!$B$17,D677+F677))</x:f>
        <x:v>369.8476305729742</x:v>
      </x:c>
      <x:c r="H677" s="73" t="n">
        <x:f>MOD(INT(G677)-1,Control!$B$7)+1</x:f>
        <x:v>101</x:v>
      </x:c>
      <x:c r="I677" s="73" t="n">
        <x:f>MIN(Control!$B$6,MAX(1,INT(MAX(0,G677)/Control!$B$7)+1))</x:f>
        <x:v>3</x:v>
      </x:c>
      <x:c r="J677" s="73" t="n">
        <x:f>INDEX(Drivers!$H$8:$H$13,B677)</x:f>
        <x:v>2</x:v>
      </x:c>
      <x:c r="K677" s="73" t="n">
        <x:f>IF(J677=1,INDEX(TrackMap!$I$8:$I$141,H677),INDEX(TrackMap!$L$8:$L$141,H677))</x:f>
        <x:v>3050</x:v>
      </x:c>
      <x:c r="L677" s="73" t="str">
        <x:f>INDEX(TrackMap!$F$8:$F$141,H677)</x:f>
        <x:v>←</x:v>
      </x:c>
      <x:c r="M677" s="87" t="n">
        <x:f>MAX(0,G677/Control!$B$17)</x:f>
        <x:v>0.5520113889148869</x:v>
      </x:c>
      <x:c r="N677" s="73" t="n">
        <x:f>IF(N671&gt;0,N671,IF(G677&gt;=Control!$B$17,A677,0))</x:f>
        <x:v>0</x:v>
      </x:c>
      <x:c r="O677" s="91" t="n">
        <x:f>IF(N677&gt;0,Control!$B$17+Control!$B$8+1-N677,G677)-B677/100000</x:f>
        <x:v>369.8475905729742</x:v>
      </x:c>
      <x:c r="P677" s="73" t="n">
        <x:f>COUNTIF($O$674:$O$679,"&gt;"&amp;O677)+1</x:f>
        <x:v>6</x:v>
      </x:c>
      <x:c r="Q677" s="83" t="n">
        <x:f>MAX($G$674:$G$679)-G677</x:f>
        <x:v>23.069015084428315</x:v>
      </x:c>
      <x:c r="R677" s="73" t="str">
        <x:f>INDEX(TrackMap!$B$8:$B$141,H677)</x:f>
        <x:v>发车大直道</x:v>
      </x:c>
    </x:row>
    <x:row r="678" ht="20" customHeight="1">
      <x:c r="A678" s="73" t="n">
        <x:v>111</x:v>
      </x:c>
      <x:c r="B678" s="73" t="n">
        <x:v>5</x:v>
      </x:c>
      <x:c r="C678" s="73" t="str">
        <x:f>INDEX(Drivers!$B$8:$B$13,B678)</x:f>
        <x:v>青锋</x:v>
      </x:c>
      <x:c r="D678" s="83" t="n">
        <x:f>G672</x:f>
        <x:v>379.30154091793133</x:v>
      </x:c>
      <x:c r="E678" s="83" t="str">
        <x:f>IF(A678=0,"GRID",IF(D678&gt;=Control!$B$17,"FINISHED",IF(AND(A678&gt;=INDEX(Drivers!$G$8:$G$13,B678),A678&lt;INDEX(Drivers!$G$8:$G$13,B678)+INDEX(Drivers!$J$8:$J$13,B678)),"PIT",IF(MOD(A678+INDEX(Drivers!$F$8:$F$13,B678),Control!$B$11)&lt;Control!$B$13,"BOOST","RACE"))))</x:f>
        <x:v>RACE</x:v>
      </x:c>
      <x:c r="F678" s="83" t="n">
        <x:f>IF(OR(E678="GRID",E678="FINISHED",E678="PIT"),0,MAX(Control!$B$15,(INDEX(Drivers!$D$8:$D$13,B678)+INDEX(Drivers!$E$8:$E$13,B678)*SIN((A678+INDEX(Drivers!$F$8:$F$13,B678)+Control!$B$16)*Control!$B$14))*INDEX(TrackMap!$M$8:$M$141,MOD(INT(D678)-1,Control!$B$7)+1)*IF(E678="BOOST",Control!$B$12,1)))</x:f>
        <x:v>3.3337690706023038</x:v>
      </x:c>
      <x:c r="G678" s="83" t="n">
        <x:f>IF(A678=0,D678,MIN(Control!$B$17,D678+F678))</x:f>
        <x:v>382.63530998853366</x:v>
      </x:c>
      <x:c r="H678" s="73" t="n">
        <x:f>MOD(INT(G678)-1,Control!$B$7)+1</x:f>
        <x:v>114</x:v>
      </x:c>
      <x:c r="I678" s="73" t="n">
        <x:f>MIN(Control!$B$6,MAX(1,INT(MAX(0,G678)/Control!$B$7)+1))</x:f>
        <x:v>3</x:v>
      </x:c>
      <x:c r="J678" s="73" t="n">
        <x:f>INDEX(Drivers!$H$8:$H$13,B678)</x:f>
        <x:v>1</x:v>
      </x:c>
      <x:c r="K678" s="73" t="n">
        <x:f>IF(J678=1,INDEX(TrackMap!$I$8:$I$141,H678),INDEX(TrackMap!$L$8:$L$141,H678))</x:f>
        <x:v>3137</x:v>
      </x:c>
      <x:c r="L678" s="73" t="str">
        <x:f>INDEX(TrackMap!$F$8:$F$141,H678)</x:f>
        <x:v>←</x:v>
      </x:c>
      <x:c r="M678" s="87" t="n">
        <x:f>MAX(0,G678/Control!$B$17)</x:f>
        <x:v>0.5710974775948263</x:v>
      </x:c>
      <x:c r="N678" s="73" t="n">
        <x:f>IF(N672&gt;0,N672,IF(G678&gt;=Control!$B$17,A678,0))</x:f>
        <x:v>0</x:v>
      </x:c>
      <x:c r="O678" s="91" t="n">
        <x:f>IF(N678&gt;0,Control!$B$17+Control!$B$8+1-N678,G678)-B678/100000</x:f>
        <x:v>382.6352599885337</x:v>
      </x:c>
      <x:c r="P678" s="73" t="n">
        <x:f>COUNTIF($O$674:$O$679,"&gt;"&amp;O678)+1</x:f>
        <x:v>2</x:v>
      </x:c>
      <x:c r="Q678" s="83" t="n">
        <x:f>MAX($G$674:$G$679)-G678</x:f>
        <x:v>10.281335668868849</x:v>
      </x:c>
      <x:c r="R678" s="73" t="str">
        <x:f>INDEX(TrackMap!$B$8:$B$141,H678)</x:f>
        <x:v>发车大直道</x:v>
      </x:c>
    </x:row>
    <x:row r="679" ht="20" customHeight="1">
      <x:c r="A679" s="73" t="n">
        <x:v>111</x:v>
      </x:c>
      <x:c r="B679" s="73" t="n">
        <x:v>6</x:v>
      </x:c>
      <x:c r="C679" s="73" t="str">
        <x:f>INDEX(Drivers!$B$8:$B$13,B679)</x:f>
        <x:v>玫速</x:v>
      </x:c>
      <x:c r="D679" s="83" t="n">
        <x:f>G673</x:f>
        <x:v>377.26900850880025</x:v>
      </x:c>
      <x:c r="E679" s="83" t="str">
        <x:f>IF(A679=0,"GRID",IF(D679&gt;=Control!$B$17,"FINISHED",IF(AND(A679&gt;=INDEX(Drivers!$G$8:$G$13,B679),A679&lt;INDEX(Drivers!$G$8:$G$13,B679)+INDEX(Drivers!$J$8:$J$13,B679)),"PIT",IF(MOD(A679+INDEX(Drivers!$F$8:$F$13,B679),Control!$B$11)&lt;Control!$B$13,"BOOST","RACE"))))</x:f>
        <x:v>BOOST</x:v>
      </x:c>
      <x:c r="F679" s="83" t="n">
        <x:f>IF(OR(E679="GRID",E679="FINISHED",E679="PIT"),0,MAX(Control!$B$15,(INDEX(Drivers!$D$8:$D$13,B679)+INDEX(Drivers!$E$8:$E$13,B679)*SIN((A679+INDEX(Drivers!$F$8:$F$13,B679)+Control!$B$16)*Control!$B$14))*INDEX(TrackMap!$M$8:$M$141,MOD(INT(D679)-1,Control!$B$7)+1)*IF(E679="BOOST",Control!$B$12,1)))</x:f>
        <x:v>5.012137338002796</x:v>
      </x:c>
      <x:c r="G679" s="83" t="n">
        <x:f>IF(A679=0,D679,MIN(Control!$B$17,D679+F679))</x:f>
        <x:v>382.28114584680304</x:v>
      </x:c>
      <x:c r="H679" s="73" t="n">
        <x:f>MOD(INT(G679)-1,Control!$B$7)+1</x:f>
        <x:v>114</x:v>
      </x:c>
      <x:c r="I679" s="73" t="n">
        <x:f>MIN(Control!$B$6,MAX(1,INT(MAX(0,G679)/Control!$B$7)+1))</x:f>
        <x:v>3</x:v>
      </x:c>
      <x:c r="J679" s="73" t="n">
        <x:f>INDEX(Drivers!$H$8:$H$13,B679)</x:f>
        <x:v>2</x:v>
      </x:c>
      <x:c r="K679" s="73" t="n">
        <x:f>IF(J679=1,INDEX(TrackMap!$I$8:$I$141,H679),INDEX(TrackMap!$L$8:$L$141,H679))</x:f>
        <x:v>3037</x:v>
      </x:c>
      <x:c r="L679" s="73" t="str">
        <x:f>INDEX(TrackMap!$F$8:$F$141,H679)</x:f>
        <x:v>←</x:v>
      </x:c>
      <x:c r="M679" s="87" t="n">
        <x:f>MAX(0,G679/Control!$B$17)</x:f>
        <x:v>0.5705688743982135</x:v>
      </x:c>
      <x:c r="N679" s="73" t="n">
        <x:f>IF(N673&gt;0,N673,IF(G679&gt;=Control!$B$17,A679,0))</x:f>
        <x:v>0</x:v>
      </x:c>
      <x:c r="O679" s="91" t="n">
        <x:f>IF(N679&gt;0,Control!$B$17+Control!$B$8+1-N679,G679)-B679/100000</x:f>
        <x:v>382.281085846803</x:v>
      </x:c>
      <x:c r="P679" s="73" t="n">
        <x:f>COUNTIF($O$674:$O$679,"&gt;"&amp;O679)+1</x:f>
        <x:v>3</x:v>
      </x:c>
      <x:c r="Q679" s="83" t="n">
        <x:f>MAX($G$674:$G$679)-G679</x:f>
        <x:v>10.63549981059947</x:v>
      </x:c>
      <x:c r="R679" s="73" t="str">
        <x:f>INDEX(TrackMap!$B$8:$B$141,H679)</x:f>
        <x:v>发车大直道</x:v>
      </x:c>
    </x:row>
    <x:row r="680" ht="20" customHeight="1">
      <x:c r="A680" s="73" t="n">
        <x:v>112</x:v>
      </x:c>
      <x:c r="B680" s="73" t="n">
        <x:v>1</x:v>
      </x:c>
      <x:c r="C680" s="73" t="str">
        <x:f>INDEX(Drivers!$B$8:$B$13,B680)</x:f>
        <x:v>赤焰</x:v>
      </x:c>
      <x:c r="D680" s="83" t="n">
        <x:f>G674</x:f>
        <x:v>377.35875644791867</x:v>
      </x:c>
      <x:c r="E680" s="83" t="str">
        <x:f>IF(A680=0,"GRID",IF(D680&gt;=Control!$B$17,"FINISHED",IF(AND(A680&gt;=INDEX(Drivers!$G$8:$G$13,B680),A680&lt;INDEX(Drivers!$G$8:$G$13,B680)+INDEX(Drivers!$J$8:$J$13,B680)),"PIT",IF(MOD(A680+INDEX(Drivers!$F$8:$F$13,B680),Control!$B$11)&lt;Control!$B$13,"BOOST","RACE"))))</x:f>
        <x:v>RACE</x:v>
      </x:c>
      <x:c r="F680" s="83" t="n">
        <x:f>IF(OR(E680="GRID",E680="FINISHED",E680="PIT"),0,MAX(Control!$B$15,(INDEX(Drivers!$D$8:$D$13,B680)+INDEX(Drivers!$E$8:$E$13,B680)*SIN((A680+INDEX(Drivers!$F$8:$F$13,B680)+Control!$B$16)*Control!$B$14))*INDEX(TrackMap!$M$8:$M$141,MOD(INT(D680)-1,Control!$B$7)+1)*IF(E680="BOOST",Control!$B$12,1)))</x:f>
        <x:v>3.915559539868624</x:v>
      </x:c>
      <x:c r="G680" s="83" t="n">
        <x:f>IF(A680=0,D680,MIN(Control!$B$17,D680+F680))</x:f>
        <x:v>381.2743159877873</x:v>
      </x:c>
      <x:c r="H680" s="73" t="n">
        <x:f>MOD(INT(G680)-1,Control!$B$7)+1</x:f>
        <x:v>113</x:v>
      </x:c>
      <x:c r="I680" s="73" t="n">
        <x:f>MIN(Control!$B$6,MAX(1,INT(MAX(0,G680)/Control!$B$7)+1))</x:f>
        <x:v>3</x:v>
      </x:c>
      <x:c r="J680" s="73" t="n">
        <x:f>INDEX(Drivers!$H$8:$H$13,B680)</x:f>
        <x:v>1</x:v>
      </x:c>
      <x:c r="K680" s="73" t="n">
        <x:f>IF(J680=1,INDEX(TrackMap!$I$8:$I$141,H680),INDEX(TrackMap!$L$8:$L$141,H680))</x:f>
        <x:v>3138</x:v>
      </x:c>
      <x:c r="L680" s="73" t="str">
        <x:f>INDEX(TrackMap!$F$8:$F$141,H680)</x:f>
        <x:v>←</x:v>
      </x:c>
      <x:c r="M680" s="87" t="n">
        <x:f>MAX(0,G680/Control!$B$17)</x:f>
        <x:v>0.5690661432653542</x:v>
      </x:c>
      <x:c r="N680" s="73" t="n">
        <x:f>IF(N674&gt;0,N674,IF(G680&gt;=Control!$B$17,A680,0))</x:f>
        <x:v>0</x:v>
      </x:c>
      <x:c r="O680" s="91" t="n">
        <x:f>IF(N680&gt;0,Control!$B$17+Control!$B$8+1-N680,G680)-B680/100000</x:f>
        <x:v>381.27430598778733</x:v>
      </x:c>
      <x:c r="P680" s="73" t="n">
        <x:f>COUNTIF($O$680:$O$685,"&gt;"&amp;O680)+1</x:f>
        <x:v>4</x:v>
      </x:c>
      <x:c r="Q680" s="83" t="n">
        <x:f>MAX($G$680:$G$685)-G680</x:f>
        <x:v>15.84200066815589</x:v>
      </x:c>
      <x:c r="R680" s="73" t="str">
        <x:f>INDEX(TrackMap!$B$8:$B$141,H680)</x:f>
        <x:v>发车大直道</x:v>
      </x:c>
    </x:row>
    <x:row r="681" ht="20" customHeight="1">
      <x:c r="A681" s="73" t="n">
        <x:v>112</x:v>
      </x:c>
      <x:c r="B681" s="73" t="n">
        <x:v>2</x:v>
      </x:c>
      <x:c r="C681" s="73" t="str">
        <x:f>INDEX(Drivers!$B$8:$B$13,B681)</x:f>
        <x:v>蓝电</x:v>
      </x:c>
      <x:c r="D681" s="83" t="n">
        <x:f>G675</x:f>
        <x:v>377.6431311673569</x:v>
      </x:c>
      <x:c r="E681" s="83" t="str">
        <x:f>IF(A681=0,"GRID",IF(D681&gt;=Control!$B$17,"FINISHED",IF(AND(A681&gt;=INDEX(Drivers!$G$8:$G$13,B681),A681&lt;INDEX(Drivers!$G$8:$G$13,B681)+INDEX(Drivers!$J$8:$J$13,B681)),"PIT",IF(MOD(A681+INDEX(Drivers!$F$8:$F$13,B681),Control!$B$11)&lt;Control!$B$13,"BOOST","RACE"))))</x:f>
        <x:v>RACE</x:v>
      </x:c>
      <x:c r="F681" s="83" t="n">
        <x:f>IF(OR(E681="GRID",E681="FINISHED",E681="PIT"),0,MAX(Control!$B$15,(INDEX(Drivers!$D$8:$D$13,B681)+INDEX(Drivers!$E$8:$E$13,B681)*SIN((A681+INDEX(Drivers!$F$8:$F$13,B681)+Control!$B$16)*Control!$B$14))*INDEX(TrackMap!$M$8:$M$141,MOD(INT(D681)-1,Control!$B$7)+1)*IF(E681="BOOST",Control!$B$12,1)))</x:f>
        <x:v>3.0579171472986126</x:v>
      </x:c>
      <x:c r="G681" s="83" t="n">
        <x:f>IF(A681=0,D681,MIN(Control!$B$17,D681+F681))</x:f>
        <x:v>380.7010483146555</x:v>
      </x:c>
      <x:c r="H681" s="73" t="n">
        <x:f>MOD(INT(G681)-1,Control!$B$7)+1</x:f>
        <x:v>112</x:v>
      </x:c>
      <x:c r="I681" s="73" t="n">
        <x:f>MIN(Control!$B$6,MAX(1,INT(MAX(0,G681)/Control!$B$7)+1))</x:f>
        <x:v>3</x:v>
      </x:c>
      <x:c r="J681" s="73" t="n">
        <x:f>INDEX(Drivers!$H$8:$H$13,B681)</x:f>
        <x:v>2</x:v>
      </x:c>
      <x:c r="K681" s="73" t="n">
        <x:f>IF(J681=1,INDEX(TrackMap!$I$8:$I$141,H681),INDEX(TrackMap!$L$8:$L$141,H681))</x:f>
        <x:v>3039</x:v>
      </x:c>
      <x:c r="L681" s="73" t="str">
        <x:f>INDEX(TrackMap!$F$8:$F$141,H681)</x:f>
        <x:v>←</x:v>
      </x:c>
      <x:c r="M681" s="87" t="n">
        <x:f>MAX(0,G681/Control!$B$17)</x:f>
        <x:v>0.5682105198726202</x:v>
      </x:c>
      <x:c r="N681" s="73" t="n">
        <x:f>IF(N675&gt;0,N675,IF(G681&gt;=Control!$B$17,A681,0))</x:f>
        <x:v>0</x:v>
      </x:c>
      <x:c r="O681" s="91" t="n">
        <x:f>IF(N681&gt;0,Control!$B$17+Control!$B$8+1-N681,G681)-B681/100000</x:f>
        <x:v>380.7010283146555</x:v>
      </x:c>
      <x:c r="P681" s="73" t="n">
        <x:f>COUNTIF($O$680:$O$685,"&gt;"&amp;O681)+1</x:f>
        <x:v>5</x:v>
      </x:c>
      <x:c r="Q681" s="83" t="n">
        <x:f>MAX($G$680:$G$685)-G681</x:f>
        <x:v>16.415268341287685</x:v>
      </x:c>
      <x:c r="R681" s="73" t="str">
        <x:f>INDEX(TrackMap!$B$8:$B$141,H681)</x:f>
        <x:v>发车大直道</x:v>
      </x:c>
    </x:row>
    <x:row r="682" ht="20" customHeight="1">
      <x:c r="A682" s="73" t="n">
        <x:v>112</x:v>
      </x:c>
      <x:c r="B682" s="73" t="n">
        <x:v>3</x:v>
      </x:c>
      <x:c r="C682" s="73" t="str">
        <x:f>INDEX(Drivers!$B$8:$B$13,B682)</x:f>
        <x:v>金翼</x:v>
      </x:c>
      <x:c r="D682" s="83" t="n">
        <x:f>G676</x:f>
        <x:v>392.9166456574025</x:v>
      </x:c>
      <x:c r="E682" s="83" t="str">
        <x:f>IF(A682=0,"GRID",IF(D682&gt;=Control!$B$17,"FINISHED",IF(AND(A682&gt;=INDEX(Drivers!$G$8:$G$13,B682),A682&lt;INDEX(Drivers!$G$8:$G$13,B682)+INDEX(Drivers!$J$8:$J$13,B682)),"PIT",IF(MOD(A682+INDEX(Drivers!$F$8:$F$13,B682),Control!$B$11)&lt;Control!$B$13,"BOOST","RACE"))))</x:f>
        <x:v>RACE</x:v>
      </x:c>
      <x:c r="F682" s="83" t="n">
        <x:f>IF(OR(E682="GRID",E682="FINISHED",E682="PIT"),0,MAX(Control!$B$15,(INDEX(Drivers!$D$8:$D$13,B682)+INDEX(Drivers!$E$8:$E$13,B682)*SIN((A682+INDEX(Drivers!$F$8:$F$13,B682)+Control!$B$16)*Control!$B$14))*INDEX(TrackMap!$M$8:$M$141,MOD(INT(D682)-1,Control!$B$7)+1)*IF(E682="BOOST",Control!$B$12,1)))</x:f>
        <x:v>4.199670998540656</x:v>
      </x:c>
      <x:c r="G682" s="83" t="n">
        <x:f>IF(A682=0,D682,MIN(Control!$B$17,D682+F682))</x:f>
        <x:v>397.1163166559432</x:v>
      </x:c>
      <x:c r="H682" s="73" t="n">
        <x:f>MOD(INT(G682)-1,Control!$B$7)+1</x:f>
        <x:v>129</x:v>
      </x:c>
      <x:c r="I682" s="73" t="n">
        <x:f>MIN(Control!$B$6,MAX(1,INT(MAX(0,G682)/Control!$B$7)+1))</x:f>
        <x:v>3</x:v>
      </x:c>
      <x:c r="J682" s="73" t="n">
        <x:f>INDEX(Drivers!$H$8:$H$13,B682)</x:f>
        <x:v>1</x:v>
      </x:c>
      <x:c r="K682" s="73" t="n">
        <x:f>IF(J682=1,INDEX(TrackMap!$I$8:$I$141,H682),INDEX(TrackMap!$L$8:$L$141,H682))</x:f>
        <x:v>3122</x:v>
      </x:c>
      <x:c r="L682" s="73" t="str">
        <x:f>INDEX(TrackMap!$F$8:$F$141,H682)</x:f>
        <x:v>←</x:v>
      </x:c>
      <x:c r="M682" s="87" t="n">
        <x:f>MAX(0,G682/Control!$B$17)</x:f>
        <x:v>0.5927109203820048</x:v>
      </x:c>
      <x:c r="N682" s="73" t="n">
        <x:f>IF(N676&gt;0,N676,IF(G682&gt;=Control!$B$17,A682,0))</x:f>
        <x:v>0</x:v>
      </x:c>
      <x:c r="O682" s="91" t="n">
        <x:f>IF(N682&gt;0,Control!$B$17+Control!$B$8+1-N682,G682)-B682/100000</x:f>
        <x:v>397.1162866559432</x:v>
      </x:c>
      <x:c r="P682" s="73" t="n">
        <x:f>COUNTIF($O$680:$O$685,"&gt;"&amp;O682)+1</x:f>
        <x:v>1</x:v>
      </x:c>
      <x:c r="Q682" s="83" t="n">
        <x:f>MAX($G$680:$G$685)-G682</x:f>
        <x:v>0</x:v>
      </x:c>
      <x:c r="R682" s="73" t="str">
        <x:f>INDEX(TrackMap!$B$8:$B$141,H682)</x:f>
        <x:v>发车大直道</x:v>
      </x:c>
    </x:row>
    <x:row r="683" ht="20" customHeight="1">
      <x:c r="A683" s="73" t="n">
        <x:v>112</x:v>
      </x:c>
      <x:c r="B683" s="73" t="n">
        <x:v>4</x:v>
      </x:c>
      <x:c r="C683" s="73" t="str">
        <x:f>INDEX(Drivers!$B$8:$B$13,B683)</x:f>
        <x:v>紫影</x:v>
      </x:c>
      <x:c r="D683" s="83" t="n">
        <x:f>G677</x:f>
        <x:v>369.8476305729742</x:v>
      </x:c>
      <x:c r="E683" s="83" t="str">
        <x:f>IF(A683=0,"GRID",IF(D683&gt;=Control!$B$17,"FINISHED",IF(AND(A683&gt;=INDEX(Drivers!$G$8:$G$13,B683),A683&lt;INDEX(Drivers!$G$8:$G$13,B683)+INDEX(Drivers!$J$8:$J$13,B683)),"PIT",IF(MOD(A683+INDEX(Drivers!$F$8:$F$13,B683),Control!$B$11)&lt;Control!$B$13,"BOOST","RACE"))))</x:f>
        <x:v>RACE</x:v>
      </x:c>
      <x:c r="F683" s="83" t="n">
        <x:f>IF(OR(E683="GRID",E683="FINISHED",E683="PIT"),0,MAX(Control!$B$15,(INDEX(Drivers!$D$8:$D$13,B683)+INDEX(Drivers!$E$8:$E$13,B683)*SIN((A683+INDEX(Drivers!$F$8:$F$13,B683)+Control!$B$16)*Control!$B$14))*INDEX(TrackMap!$M$8:$M$141,MOD(INT(D683)-1,Control!$B$7)+1)*IF(E683="BOOST",Control!$B$12,1)))</x:f>
        <x:v>2.4315475345170054</x:v>
      </x:c>
      <x:c r="G683" s="83" t="n">
        <x:f>IF(A683=0,D683,MIN(Control!$B$17,D683+F683))</x:f>
        <x:v>372.2791781074912</x:v>
      </x:c>
      <x:c r="H683" s="73" t="n">
        <x:f>MOD(INT(G683)-1,Control!$B$7)+1</x:f>
        <x:v>104</x:v>
      </x:c>
      <x:c r="I683" s="73" t="n">
        <x:f>MIN(Control!$B$6,MAX(1,INT(MAX(0,G683)/Control!$B$7)+1))</x:f>
        <x:v>3</x:v>
      </x:c>
      <x:c r="J683" s="73" t="n">
        <x:f>INDEX(Drivers!$H$8:$H$13,B683)</x:f>
        <x:v>2</x:v>
      </x:c>
      <x:c r="K683" s="73" t="n">
        <x:f>IF(J683=1,INDEX(TrackMap!$I$8:$I$141,H683),INDEX(TrackMap!$L$8:$L$141,H683))</x:f>
        <x:v>3047</x:v>
      </x:c>
      <x:c r="L683" s="73" t="str">
        <x:f>INDEX(TrackMap!$F$8:$F$141,H683)</x:f>
        <x:v>←</x:v>
      </x:c>
      <x:c r="M683" s="87" t="n">
        <x:f>MAX(0,G683/Control!$B$17)</x:f>
        <x:v>0.5556405643395391</x:v>
      </x:c>
      <x:c r="N683" s="73" t="n">
        <x:f>IF(N677&gt;0,N677,IF(G683&gt;=Control!$B$17,A683,0))</x:f>
        <x:v>0</x:v>
      </x:c>
      <x:c r="O683" s="91" t="n">
        <x:f>IF(N683&gt;0,Control!$B$17+Control!$B$8+1-N683,G683)-B683/100000</x:f>
        <x:v>372.2791381074912</x:v>
      </x:c>
      <x:c r="P683" s="73" t="n">
        <x:f>COUNTIF($O$680:$O$685,"&gt;"&amp;O683)+1</x:f>
        <x:v>6</x:v>
      </x:c>
      <x:c r="Q683" s="83" t="n">
        <x:f>MAX($G$680:$G$685)-G683</x:f>
        <x:v>24.837138548452003</x:v>
      </x:c>
      <x:c r="R683" s="73" t="str">
        <x:f>INDEX(TrackMap!$B$8:$B$141,H683)</x:f>
        <x:v>发车大直道</x:v>
      </x:c>
    </x:row>
    <x:row r="684" ht="20" customHeight="1">
      <x:c r="A684" s="73" t="n">
        <x:v>112</x:v>
      </x:c>
      <x:c r="B684" s="73" t="n">
        <x:v>5</x:v>
      </x:c>
      <x:c r="C684" s="73" t="str">
        <x:f>INDEX(Drivers!$B$8:$B$13,B684)</x:f>
        <x:v>青锋</x:v>
      </x:c>
      <x:c r="D684" s="83" t="n">
        <x:f>G678</x:f>
        <x:v>382.63530998853366</x:v>
      </x:c>
      <x:c r="E684" s="83" t="str">
        <x:f>IF(A684=0,"GRID",IF(D684&gt;=Control!$B$17,"FINISHED",IF(AND(A684&gt;=INDEX(Drivers!$G$8:$G$13,B684),A684&lt;INDEX(Drivers!$G$8:$G$13,B684)+INDEX(Drivers!$J$8:$J$13,B684)),"PIT",IF(MOD(A684+INDEX(Drivers!$F$8:$F$13,B684),Control!$B$11)&lt;Control!$B$13,"BOOST","RACE"))))</x:f>
        <x:v>RACE</x:v>
      </x:c>
      <x:c r="F684" s="83" t="n">
        <x:f>IF(OR(E684="GRID",E684="FINISHED",E684="PIT"),0,MAX(Control!$B$15,(INDEX(Drivers!$D$8:$D$13,B684)+INDEX(Drivers!$E$8:$E$13,B684)*SIN((A684+INDEX(Drivers!$F$8:$F$13,B684)+Control!$B$16)*Control!$B$14))*INDEX(TrackMap!$M$8:$M$141,MOD(INT(D684)-1,Control!$B$7)+1)*IF(E684="BOOST",Control!$B$12,1)))</x:f>
        <x:v>3.1992713200248244</x:v>
      </x:c>
      <x:c r="G684" s="83" t="n">
        <x:f>IF(A684=0,D684,MIN(Control!$B$17,D684+F684))</x:f>
        <x:v>385.8345813085585</x:v>
      </x:c>
      <x:c r="H684" s="73" t="n">
        <x:f>MOD(INT(G684)-1,Control!$B$7)+1</x:f>
        <x:v>117</x:v>
      </x:c>
      <x:c r="I684" s="73" t="n">
        <x:f>MIN(Control!$B$6,MAX(1,INT(MAX(0,G684)/Control!$B$7)+1))</x:f>
        <x:v>3</x:v>
      </x:c>
      <x:c r="J684" s="73" t="n">
        <x:f>INDEX(Drivers!$H$8:$H$13,B684)</x:f>
        <x:v>1</x:v>
      </x:c>
      <x:c r="K684" s="73" t="n">
        <x:f>IF(J684=1,INDEX(TrackMap!$I$8:$I$141,H684),INDEX(TrackMap!$L$8:$L$141,H684))</x:f>
        <x:v>3134</x:v>
      </x:c>
      <x:c r="L684" s="73" t="str">
        <x:f>INDEX(TrackMap!$F$8:$F$141,H684)</x:f>
        <x:v>←</x:v>
      </x:c>
      <x:c r="M684" s="87" t="n">
        <x:f>MAX(0,G684/Control!$B$17)</x:f>
        <x:v>0.575872509415759</x:v>
      </x:c>
      <x:c r="N684" s="73" t="n">
        <x:f>IF(N678&gt;0,N678,IF(G684&gt;=Control!$B$17,A684,0))</x:f>
        <x:v>0</x:v>
      </x:c>
      <x:c r="O684" s="91" t="n">
        <x:f>IF(N684&gt;0,Control!$B$17+Control!$B$8+1-N684,G684)-B684/100000</x:f>
        <x:v>385.8345313085585</x:v>
      </x:c>
      <x:c r="P684" s="73" t="n">
        <x:f>COUNTIF($O$680:$O$685,"&gt;"&amp;O684)+1</x:f>
        <x:v>3</x:v>
      </x:c>
      <x:c r="Q684" s="83" t="n">
        <x:f>MAX($G$680:$G$685)-G684</x:f>
        <x:v>11.28173534738471</x:v>
      </x:c>
      <x:c r="R684" s="73" t="str">
        <x:f>INDEX(TrackMap!$B$8:$B$141,H684)</x:f>
        <x:v>发车大直道</x:v>
      </x:c>
    </x:row>
    <x:row r="685" ht="20" customHeight="1">
      <x:c r="A685" s="73" t="n">
        <x:v>112</x:v>
      </x:c>
      <x:c r="B685" s="73" t="n">
        <x:v>6</x:v>
      </x:c>
      <x:c r="C685" s="73" t="str">
        <x:f>INDEX(Drivers!$B$8:$B$13,B685)</x:f>
        <x:v>玫速</x:v>
      </x:c>
      <x:c r="D685" s="83" t="n">
        <x:f>G679</x:f>
        <x:v>382.28114584680304</x:v>
      </x:c>
      <x:c r="E685" s="83" t="str">
        <x:f>IF(A685=0,"GRID",IF(D685&gt;=Control!$B$17,"FINISHED",IF(AND(A685&gt;=INDEX(Drivers!$G$8:$G$13,B685),A685&lt;INDEX(Drivers!$G$8:$G$13,B685)+INDEX(Drivers!$J$8:$J$13,B685)),"PIT",IF(MOD(A685+INDEX(Drivers!$F$8:$F$13,B685),Control!$B$11)&lt;Control!$B$13,"BOOST","RACE"))))</x:f>
        <x:v>BOOST</x:v>
      </x:c>
      <x:c r="F685" s="83" t="n">
        <x:f>IF(OR(E685="GRID",E685="FINISHED",E685="PIT"),0,MAX(Control!$B$15,(INDEX(Drivers!$D$8:$D$13,B685)+INDEX(Drivers!$E$8:$E$13,B685)*SIN((A685+INDEX(Drivers!$F$8:$F$13,B685)+Control!$B$16)*Control!$B$14))*INDEX(TrackMap!$M$8:$M$141,MOD(INT(D685)-1,Control!$B$7)+1)*IF(E685="BOOST",Control!$B$12,1)))</x:f>
        <x:v>5.301623769052967</x:v>
      </x:c>
      <x:c r="G685" s="83" t="n">
        <x:f>IF(A685=0,D685,MIN(Control!$B$17,D685+F685))</x:f>
        <x:v>387.582769615856</x:v>
      </x:c>
      <x:c r="H685" s="73" t="n">
        <x:f>MOD(INT(G685)-1,Control!$B$7)+1</x:f>
        <x:v>119</x:v>
      </x:c>
      <x:c r="I685" s="73" t="n">
        <x:f>MIN(Control!$B$6,MAX(1,INT(MAX(0,G685)/Control!$B$7)+1))</x:f>
        <x:v>3</x:v>
      </x:c>
      <x:c r="J685" s="73" t="n">
        <x:f>INDEX(Drivers!$H$8:$H$13,B685)</x:f>
        <x:v>2</x:v>
      </x:c>
      <x:c r="K685" s="73" t="n">
        <x:f>IF(J685=1,INDEX(TrackMap!$I$8:$I$141,H685),INDEX(TrackMap!$L$8:$L$141,H685))</x:f>
        <x:v>3032</x:v>
      </x:c>
      <x:c r="L685" s="73" t="str">
        <x:f>INDEX(TrackMap!$F$8:$F$141,H685)</x:f>
        <x:v>←</x:v>
      </x:c>
      <x:c r="M685" s="87" t="n">
        <x:f>MAX(0,G685/Control!$B$17)</x:f>
        <x:v>0.5784817456953075</x:v>
      </x:c>
      <x:c r="N685" s="73" t="n">
        <x:f>IF(N679&gt;0,N679,IF(G685&gt;=Control!$B$17,A685,0))</x:f>
        <x:v>0</x:v>
      </x:c>
      <x:c r="O685" s="91" t="n">
        <x:f>IF(N685&gt;0,Control!$B$17+Control!$B$8+1-N685,G685)-B685/100000</x:f>
        <x:v>387.582709615856</x:v>
      </x:c>
      <x:c r="P685" s="73" t="n">
        <x:f>COUNTIF($O$680:$O$685,"&gt;"&amp;O685)+1</x:f>
        <x:v>2</x:v>
      </x:c>
      <x:c r="Q685" s="83" t="n">
        <x:f>MAX($G$680:$G$685)-G685</x:f>
        <x:v>9.533547040087171</x:v>
      </x:c>
      <x:c r="R685" s="73" t="str">
        <x:f>INDEX(TrackMap!$B$8:$B$141,H685)</x:f>
        <x:v>发车大直道</x:v>
      </x:c>
    </x:row>
    <x:row r="686" ht="20" customHeight="1">
      <x:c r="A686" s="73" t="n">
        <x:v>113</x:v>
      </x:c>
      <x:c r="B686" s="73" t="n">
        <x:v>1</x:v>
      </x:c>
      <x:c r="C686" s="73" t="str">
        <x:f>INDEX(Drivers!$B$8:$B$13,B686)</x:f>
        <x:v>赤焰</x:v>
      </x:c>
      <x:c r="D686" s="83" t="n">
        <x:f>G680</x:f>
        <x:v>381.2743159877873</x:v>
      </x:c>
      <x:c r="E686" s="83" t="str">
        <x:f>IF(A686=0,"GRID",IF(D686&gt;=Control!$B$17,"FINISHED",IF(AND(A686&gt;=INDEX(Drivers!$G$8:$G$13,B686),A686&lt;INDEX(Drivers!$G$8:$G$13,B686)+INDEX(Drivers!$J$8:$J$13,B686)),"PIT",IF(MOD(A686+INDEX(Drivers!$F$8:$F$13,B686),Control!$B$11)&lt;Control!$B$13,"BOOST","RACE"))))</x:f>
        <x:v>RACE</x:v>
      </x:c>
      <x:c r="F686" s="83" t="n">
        <x:f>IF(OR(E686="GRID",E686="FINISHED",E686="PIT"),0,MAX(Control!$B$15,(INDEX(Drivers!$D$8:$D$13,B686)+INDEX(Drivers!$E$8:$E$13,B686)*SIN((A686+INDEX(Drivers!$F$8:$F$13,B686)+Control!$B$16)*Control!$B$14))*INDEX(TrackMap!$M$8:$M$141,MOD(INT(D686)-1,Control!$B$7)+1)*IF(E686="BOOST",Control!$B$12,1)))</x:f>
        <x:v>3.7234195733940156</x:v>
      </x:c>
      <x:c r="G686" s="83" t="n">
        <x:f>IF(A686=0,D686,MIN(Control!$B$17,D686+F686))</x:f>
        <x:v>384.99773556118134</x:v>
      </x:c>
      <x:c r="H686" s="73" t="n">
        <x:f>MOD(INT(G686)-1,Control!$B$7)+1</x:f>
        <x:v>116</x:v>
      </x:c>
      <x:c r="I686" s="73" t="n">
        <x:f>MIN(Control!$B$6,MAX(1,INT(MAX(0,G686)/Control!$B$7)+1))</x:f>
        <x:v>3</x:v>
      </x:c>
      <x:c r="J686" s="73" t="n">
        <x:f>INDEX(Drivers!$H$8:$H$13,B686)</x:f>
        <x:v>1</x:v>
      </x:c>
      <x:c r="K686" s="73" t="n">
        <x:f>IF(J686=1,INDEX(TrackMap!$I$8:$I$141,H686),INDEX(TrackMap!$L$8:$L$141,H686))</x:f>
        <x:v>3135</x:v>
      </x:c>
      <x:c r="L686" s="73" t="str">
        <x:f>INDEX(TrackMap!$F$8:$F$141,H686)</x:f>
        <x:v>←</x:v>
      </x:c>
      <x:c r="M686" s="87" t="n">
        <x:f>MAX(0,G686/Control!$B$17)</x:f>
        <x:v>0.5746234859122109</x:v>
      </x:c>
      <x:c r="N686" s="73" t="n">
        <x:f>IF(N680&gt;0,N680,IF(G686&gt;=Control!$B$17,A686,0))</x:f>
        <x:v>0</x:v>
      </x:c>
      <x:c r="O686" s="91" t="n">
        <x:f>IF(N686&gt;0,Control!$B$17+Control!$B$8+1-N686,G686)-B686/100000</x:f>
        <x:v>384.99772556118137</x:v>
      </x:c>
      <x:c r="P686" s="73" t="n">
        <x:f>COUNTIF($O$686:$O$691,"&gt;"&amp;O686)+1</x:f>
        <x:v>4</x:v>
      </x:c>
      <x:c r="Q686" s="83" t="n">
        <x:f>MAX($G$686:$G$691)-G686</x:f>
        <x:v>16.2909960758401</x:v>
      </x:c>
      <x:c r="R686" s="73" t="str">
        <x:f>INDEX(TrackMap!$B$8:$B$141,H686)</x:f>
        <x:v>发车大直道</x:v>
      </x:c>
    </x:row>
    <x:row r="687" ht="20" customHeight="1">
      <x:c r="A687" s="73" t="n">
        <x:v>113</x:v>
      </x:c>
      <x:c r="B687" s="73" t="n">
        <x:v>2</x:v>
      </x:c>
      <x:c r="C687" s="73" t="str">
        <x:f>INDEX(Drivers!$B$8:$B$13,B687)</x:f>
        <x:v>蓝电</x:v>
      </x:c>
      <x:c r="D687" s="83" t="n">
        <x:f>G681</x:f>
        <x:v>380.7010483146555</x:v>
      </x:c>
      <x:c r="E687" s="83" t="str">
        <x:f>IF(A687=0,"GRID",IF(D687&gt;=Control!$B$17,"FINISHED",IF(AND(A687&gt;=INDEX(Drivers!$G$8:$G$13,B687),A687&lt;INDEX(Drivers!$G$8:$G$13,B687)+INDEX(Drivers!$J$8:$J$13,B687)),"PIT",IF(MOD(A687+INDEX(Drivers!$F$8:$F$13,B687),Control!$B$11)&lt;Control!$B$13,"BOOST","RACE"))))</x:f>
        <x:v>RACE</x:v>
      </x:c>
      <x:c r="F687" s="83" t="n">
        <x:f>IF(OR(E687="GRID",E687="FINISHED",E687="PIT"),0,MAX(Control!$B$15,(INDEX(Drivers!$D$8:$D$13,B687)+INDEX(Drivers!$E$8:$E$13,B687)*SIN((A687+INDEX(Drivers!$F$8:$F$13,B687)+Control!$B$16)*Control!$B$14))*INDEX(TrackMap!$M$8:$M$141,MOD(INT(D687)-1,Control!$B$7)+1)*IF(E687="BOOST",Control!$B$12,1)))</x:f>
        <x:v>3.200172062741106</x:v>
      </x:c>
      <x:c r="G687" s="83" t="n">
        <x:f>IF(A687=0,D687,MIN(Control!$B$17,D687+F687))</x:f>
        <x:v>383.9012203773966</x:v>
      </x:c>
      <x:c r="H687" s="73" t="n">
        <x:f>MOD(INT(G687)-1,Control!$B$7)+1</x:f>
        <x:v>115</x:v>
      </x:c>
      <x:c r="I687" s="73" t="n">
        <x:f>MIN(Control!$B$6,MAX(1,INT(MAX(0,G687)/Control!$B$7)+1))</x:f>
        <x:v>3</x:v>
      </x:c>
      <x:c r="J687" s="73" t="n">
        <x:f>INDEX(Drivers!$H$8:$H$13,B687)</x:f>
        <x:v>2</x:v>
      </x:c>
      <x:c r="K687" s="73" t="n">
        <x:f>IF(J687=1,INDEX(TrackMap!$I$8:$I$141,H687),INDEX(TrackMap!$L$8:$L$141,H687))</x:f>
        <x:v>3036</x:v>
      </x:c>
      <x:c r="L687" s="73" t="str">
        <x:f>INDEX(TrackMap!$F$8:$F$141,H687)</x:f>
        <x:v>←</x:v>
      </x:c>
      <x:c r="M687" s="87" t="n">
        <x:f>MAX(0,G687/Control!$B$17)</x:f>
        <x:v>0.5729868960856666</x:v>
      </x:c>
      <x:c r="N687" s="73" t="n">
        <x:f>IF(N681&gt;0,N681,IF(G687&gt;=Control!$B$17,A687,0))</x:f>
        <x:v>0</x:v>
      </x:c>
      <x:c r="O687" s="91" t="n">
        <x:f>IF(N687&gt;0,Control!$B$17+Control!$B$8+1-N687,G687)-B687/100000</x:f>
        <x:v>383.9012003773966</x:v>
      </x:c>
      <x:c r="P687" s="73" t="n">
        <x:f>COUNTIF($O$686:$O$691,"&gt;"&amp;O687)+1</x:f>
        <x:v>5</x:v>
      </x:c>
      <x:c r="Q687" s="83" t="n">
        <x:f>MAX($G$686:$G$691)-G687</x:f>
        <x:v>17.38751125962483</x:v>
      </x:c>
      <x:c r="R687" s="73" t="str">
        <x:f>INDEX(TrackMap!$B$8:$B$141,H687)</x:f>
        <x:v>发车大直道</x:v>
      </x:c>
    </x:row>
    <x:row r="688" ht="20" customHeight="1">
      <x:c r="A688" s="73" t="n">
        <x:v>113</x:v>
      </x:c>
      <x:c r="B688" s="73" t="n">
        <x:v>3</x:v>
      </x:c>
      <x:c r="C688" s="73" t="str">
        <x:f>INDEX(Drivers!$B$8:$B$13,B688)</x:f>
        <x:v>金翼</x:v>
      </x:c>
      <x:c r="D688" s="83" t="n">
        <x:f>G682</x:f>
        <x:v>397.1163166559432</x:v>
      </x:c>
      <x:c r="E688" s="83" t="str">
        <x:f>IF(A688=0,"GRID",IF(D688&gt;=Control!$B$17,"FINISHED",IF(AND(A688&gt;=INDEX(Drivers!$G$8:$G$13,B688),A688&lt;INDEX(Drivers!$G$8:$G$13,B688)+INDEX(Drivers!$J$8:$J$13,B688)),"PIT",IF(MOD(A688+INDEX(Drivers!$F$8:$F$13,B688),Control!$B$11)&lt;Control!$B$13,"BOOST","RACE"))))</x:f>
        <x:v>RACE</x:v>
      </x:c>
      <x:c r="F688" s="83" t="n">
        <x:f>IF(OR(E688="GRID",E688="FINISHED",E688="PIT"),0,MAX(Control!$B$15,(INDEX(Drivers!$D$8:$D$13,B688)+INDEX(Drivers!$E$8:$E$13,B688)*SIN((A688+INDEX(Drivers!$F$8:$F$13,B688)+Control!$B$16)*Control!$B$14))*INDEX(TrackMap!$M$8:$M$141,MOD(INT(D688)-1,Control!$B$7)+1)*IF(E688="BOOST",Control!$B$12,1)))</x:f>
        <x:v>4.172414981078241</x:v>
      </x:c>
      <x:c r="G688" s="83" t="n">
        <x:f>IF(A688=0,D688,MIN(Control!$B$17,D688+F688))</x:f>
        <x:v>401.28873163702144</x:v>
      </x:c>
      <x:c r="H688" s="73" t="n">
        <x:f>MOD(INT(G688)-1,Control!$B$7)+1</x:f>
        <x:v>133</x:v>
      </x:c>
      <x:c r="I688" s="73" t="n">
        <x:f>MIN(Control!$B$6,MAX(1,INT(MAX(0,G688)/Control!$B$7)+1))</x:f>
        <x:v>3</x:v>
      </x:c>
      <x:c r="J688" s="73" t="n">
        <x:f>INDEX(Drivers!$H$8:$H$13,B688)</x:f>
        <x:v>1</x:v>
      </x:c>
      <x:c r="K688" s="73" t="n">
        <x:f>IF(J688=1,INDEX(TrackMap!$I$8:$I$141,H688),INDEX(TrackMap!$L$8:$L$141,H688))</x:f>
        <x:v>3118</x:v>
      </x:c>
      <x:c r="L688" s="73" t="str">
        <x:f>INDEX(TrackMap!$F$8:$F$141,H688)</x:f>
        <x:v>←</x:v>
      </x:c>
      <x:c r="M688" s="87" t="n">
        <x:f>MAX(0,G688/Control!$B$17)</x:f>
        <x:v>0.5989384054283902</x:v>
      </x:c>
      <x:c r="N688" s="73" t="n">
        <x:f>IF(N682&gt;0,N682,IF(G688&gt;=Control!$B$17,A688,0))</x:f>
        <x:v>0</x:v>
      </x:c>
      <x:c r="O688" s="91" t="n">
        <x:f>IF(N688&gt;0,Control!$B$17+Control!$B$8+1-N688,G688)-B688/100000</x:f>
        <x:v>401.28870163702146</x:v>
      </x:c>
      <x:c r="P688" s="73" t="n">
        <x:f>COUNTIF($O$686:$O$691,"&gt;"&amp;O688)+1</x:f>
        <x:v>1</x:v>
      </x:c>
      <x:c r="Q688" s="83" t="n">
        <x:f>MAX($G$686:$G$691)-G688</x:f>
        <x:v>0</x:v>
      </x:c>
      <x:c r="R688" s="73" t="str">
        <x:f>INDEX(TrackMap!$B$8:$B$141,H688)</x:f>
        <x:v>发车大直道</x:v>
      </x:c>
    </x:row>
    <x:row r="689" ht="20" customHeight="1">
      <x:c r="A689" s="73" t="n">
        <x:v>113</x:v>
      </x:c>
      <x:c r="B689" s="73" t="n">
        <x:v>4</x:v>
      </x:c>
      <x:c r="C689" s="73" t="str">
        <x:f>INDEX(Drivers!$B$8:$B$13,B689)</x:f>
        <x:v>紫影</x:v>
      </x:c>
      <x:c r="D689" s="83" t="n">
        <x:f>G683</x:f>
        <x:v>372.2791781074912</x:v>
      </x:c>
      <x:c r="E689" s="83" t="str">
        <x:f>IF(A689=0,"GRID",IF(D689&gt;=Control!$B$17,"FINISHED",IF(AND(A689&gt;=INDEX(Drivers!$G$8:$G$13,B689),A689&lt;INDEX(Drivers!$G$8:$G$13,B689)+INDEX(Drivers!$J$8:$J$13,B689)),"PIT",IF(MOD(A689+INDEX(Drivers!$F$8:$F$13,B689),Control!$B$11)&lt;Control!$B$13,"BOOST","RACE"))))</x:f>
        <x:v>RACE</x:v>
      </x:c>
      <x:c r="F689" s="83" t="n">
        <x:f>IF(OR(E689="GRID",E689="FINISHED",E689="PIT"),0,MAX(Control!$B$15,(INDEX(Drivers!$D$8:$D$13,B689)+INDEX(Drivers!$E$8:$E$13,B689)*SIN((A689+INDEX(Drivers!$F$8:$F$13,B689)+Control!$B$16)*Control!$B$14))*INDEX(TrackMap!$M$8:$M$141,MOD(INT(D689)-1,Control!$B$7)+1)*IF(E689="BOOST",Control!$B$12,1)))</x:f>
        <x:v>3.033711342960847</x:v>
      </x:c>
      <x:c r="G689" s="83" t="n">
        <x:f>IF(A689=0,D689,MIN(Control!$B$17,D689+F689))</x:f>
        <x:v>375.312889450452</x:v>
      </x:c>
      <x:c r="H689" s="73" t="n">
        <x:f>MOD(INT(G689)-1,Control!$B$7)+1</x:f>
        <x:v>107</x:v>
      </x:c>
      <x:c r="I689" s="73" t="n">
        <x:f>MIN(Control!$B$6,MAX(1,INT(MAX(0,G689)/Control!$B$7)+1))</x:f>
        <x:v>3</x:v>
      </x:c>
      <x:c r="J689" s="73" t="n">
        <x:f>INDEX(Drivers!$H$8:$H$13,B689)</x:f>
        <x:v>2</x:v>
      </x:c>
      <x:c r="K689" s="73" t="n">
        <x:f>IF(J689=1,INDEX(TrackMap!$I$8:$I$141,H689),INDEX(TrackMap!$L$8:$L$141,H689))</x:f>
        <x:v>3044</x:v>
      </x:c>
      <x:c r="L689" s="73" t="str">
        <x:f>INDEX(TrackMap!$F$8:$F$141,H689)</x:f>
        <x:v>←</x:v>
      </x:c>
      <x:c r="M689" s="87" t="n">
        <x:f>MAX(0,G689/Control!$B$17)</x:f>
        <x:v>0.5601684917170926</x:v>
      </x:c>
      <x:c r="N689" s="73" t="n">
        <x:f>IF(N683&gt;0,N683,IF(G689&gt;=Control!$B$17,A689,0))</x:f>
        <x:v>0</x:v>
      </x:c>
      <x:c r="O689" s="91" t="n">
        <x:f>IF(N689&gt;0,Control!$B$17+Control!$B$8+1-N689,G689)-B689/100000</x:f>
        <x:v>375.312849450452</x:v>
      </x:c>
      <x:c r="P689" s="73" t="n">
        <x:f>COUNTIF($O$686:$O$691,"&gt;"&amp;O689)+1</x:f>
        <x:v>6</x:v>
      </x:c>
      <x:c r="Q689" s="83" t="n">
        <x:f>MAX($G$686:$G$691)-G689</x:f>
        <x:v>25.975842186569423</x:v>
      </x:c>
      <x:c r="R689" s="73" t="str">
        <x:f>INDEX(TrackMap!$B$8:$B$141,H689)</x:f>
        <x:v>发车大直道</x:v>
      </x:c>
    </x:row>
    <x:row r="690" ht="20" customHeight="1">
      <x:c r="A690" s="73" t="n">
        <x:v>113</x:v>
      </x:c>
      <x:c r="B690" s="73" t="n">
        <x:v>5</x:v>
      </x:c>
      <x:c r="C690" s="73" t="str">
        <x:f>INDEX(Drivers!$B$8:$B$13,B690)</x:f>
        <x:v>青锋</x:v>
      </x:c>
      <x:c r="D690" s="83" t="n">
        <x:f>G684</x:f>
        <x:v>385.8345813085585</x:v>
      </x:c>
      <x:c r="E690" s="83" t="str">
        <x:f>IF(A690=0,"GRID",IF(D690&gt;=Control!$B$17,"FINISHED",IF(AND(A690&gt;=INDEX(Drivers!$G$8:$G$13,B690),A690&lt;INDEX(Drivers!$G$8:$G$13,B690)+INDEX(Drivers!$J$8:$J$13,B690)),"PIT",IF(MOD(A690+INDEX(Drivers!$F$8:$F$13,B690),Control!$B$11)&lt;Control!$B$13,"BOOST","RACE"))))</x:f>
        <x:v>RACE</x:v>
      </x:c>
      <x:c r="F690" s="83" t="n">
        <x:f>IF(OR(E690="GRID",E690="FINISHED",E690="PIT"),0,MAX(Control!$B$15,(INDEX(Drivers!$D$8:$D$13,B690)+INDEX(Drivers!$E$8:$E$13,B690)*SIN((A690+INDEX(Drivers!$F$8:$F$13,B690)+Control!$B$16)*Control!$B$14))*INDEX(TrackMap!$M$8:$M$141,MOD(INT(D690)-1,Control!$B$7)+1)*IF(E690="BOOST",Control!$B$12,1)))</x:f>
        <x:v>3.1230706756424054</x:v>
      </x:c>
      <x:c r="G690" s="83" t="n">
        <x:f>IF(A690=0,D690,MIN(Control!$B$17,D690+F690))</x:f>
        <x:v>388.9576519842009</x:v>
      </x:c>
      <x:c r="H690" s="73" t="n">
        <x:f>MOD(INT(G690)-1,Control!$B$7)+1</x:f>
        <x:v>120</x:v>
      </x:c>
      <x:c r="I690" s="73" t="n">
        <x:f>MIN(Control!$B$6,MAX(1,INT(MAX(0,G690)/Control!$B$7)+1))</x:f>
        <x:v>3</x:v>
      </x:c>
      <x:c r="J690" s="73" t="n">
        <x:f>INDEX(Drivers!$H$8:$H$13,B690)</x:f>
        <x:v>1</x:v>
      </x:c>
      <x:c r="K690" s="73" t="n">
        <x:f>IF(J690=1,INDEX(TrackMap!$I$8:$I$141,H690),INDEX(TrackMap!$L$8:$L$141,H690))</x:f>
        <x:v>3131</x:v>
      </x:c>
      <x:c r="L690" s="73" t="str">
        <x:f>INDEX(TrackMap!$F$8:$F$141,H690)</x:f>
        <x:v>←</x:v>
      </x:c>
      <x:c r="M690" s="87" t="n">
        <x:f>MAX(0,G690/Control!$B$17)</x:f>
        <x:v>0.5805338089316431</x:v>
      </x:c>
      <x:c r="N690" s="73" t="n">
        <x:f>IF(N684&gt;0,N684,IF(G690&gt;=Control!$B$17,A690,0))</x:f>
        <x:v>0</x:v>
      </x:c>
      <x:c r="O690" s="91" t="n">
        <x:f>IF(N690&gt;0,Control!$B$17+Control!$B$8+1-N690,G690)-B690/100000</x:f>
        <x:v>388.9576019842009</x:v>
      </x:c>
      <x:c r="P690" s="73" t="n">
        <x:f>COUNTIF($O$686:$O$691,"&gt;"&amp;O690)+1</x:f>
        <x:v>3</x:v>
      </x:c>
      <x:c r="Q690" s="83" t="n">
        <x:f>MAX($G$686:$G$691)-G690</x:f>
        <x:v>12.331079652820563</x:v>
      </x:c>
      <x:c r="R690" s="73" t="str">
        <x:f>INDEX(TrackMap!$B$8:$B$141,H690)</x:f>
        <x:v>发车大直道</x:v>
      </x:c>
    </x:row>
    <x:row r="691" ht="20" customHeight="1">
      <x:c r="A691" s="73" t="n">
        <x:v>113</x:v>
      </x:c>
      <x:c r="B691" s="73" t="n">
        <x:v>6</x:v>
      </x:c>
      <x:c r="C691" s="73" t="str">
        <x:f>INDEX(Drivers!$B$8:$B$13,B691)</x:f>
        <x:v>玫速</x:v>
      </x:c>
      <x:c r="D691" s="83" t="n">
        <x:f>G685</x:f>
        <x:v>387.582769615856</x:v>
      </x:c>
      <x:c r="E691" s="83" t="str">
        <x:f>IF(A691=0,"GRID",IF(D691&gt;=Control!$B$17,"FINISHED",IF(AND(A691&gt;=INDEX(Drivers!$G$8:$G$13,B691),A691&lt;INDEX(Drivers!$G$8:$G$13,B691)+INDEX(Drivers!$J$8:$J$13,B691)),"PIT",IF(MOD(A691+INDEX(Drivers!$F$8:$F$13,B691),Control!$B$11)&lt;Control!$B$13,"BOOST","RACE"))))</x:f>
        <x:v>BOOST</x:v>
      </x:c>
      <x:c r="F691" s="83" t="n">
        <x:f>IF(OR(E691="GRID",E691="FINISHED",E691="PIT"),0,MAX(Control!$B$15,(INDEX(Drivers!$D$8:$D$13,B691)+INDEX(Drivers!$E$8:$E$13,B691)*SIN((A691+INDEX(Drivers!$F$8:$F$13,B691)+Control!$B$16)*Control!$B$14))*INDEX(TrackMap!$M$8:$M$141,MOD(INT(D691)-1,Control!$B$7)+1)*IF(E691="BOOST",Control!$B$12,1)))</x:f>
        <x:v>5.5459557880616766</x:v>
      </x:c>
      <x:c r="G691" s="83" t="n">
        <x:f>IF(A691=0,D691,MIN(Control!$B$17,D691+F691))</x:f>
        <x:v>393.1287254039177</x:v>
      </x:c>
      <x:c r="H691" s="73" t="n">
        <x:f>MOD(INT(G691)-1,Control!$B$7)+1</x:f>
        <x:v>125</x:v>
      </x:c>
      <x:c r="I691" s="73" t="n">
        <x:f>MIN(Control!$B$6,MAX(1,INT(MAX(0,G691)/Control!$B$7)+1))</x:f>
        <x:v>3</x:v>
      </x:c>
      <x:c r="J691" s="73" t="n">
        <x:f>INDEX(Drivers!$H$8:$H$13,B691)</x:f>
        <x:v>2</x:v>
      </x:c>
      <x:c r="K691" s="73" t="n">
        <x:f>IF(J691=1,INDEX(TrackMap!$I$8:$I$141,H691),INDEX(TrackMap!$L$8:$L$141,H691))</x:f>
        <x:v>3026</x:v>
      </x:c>
      <x:c r="L691" s="73" t="str">
        <x:f>INDEX(TrackMap!$F$8:$F$141,H691)</x:f>
        <x:v>←</x:v>
      </x:c>
      <x:c r="M691" s="87" t="n">
        <x:f>MAX(0,G691/Control!$B$17)</x:f>
        <x:v>0.5867592916476384</x:v>
      </x:c>
      <x:c r="N691" s="73" t="n">
        <x:f>IF(N685&gt;0,N685,IF(G691&gt;=Control!$B$17,A691,0))</x:f>
        <x:v>0</x:v>
      </x:c>
      <x:c r="O691" s="91" t="n">
        <x:f>IF(N691&gt;0,Control!$B$17+Control!$B$8+1-N691,G691)-B691/100000</x:f>
        <x:v>393.1286654039177</x:v>
      </x:c>
      <x:c r="P691" s="73" t="n">
        <x:f>COUNTIF($O$686:$O$691,"&gt;"&amp;O691)+1</x:f>
        <x:v>2</x:v>
      </x:c>
      <x:c r="Q691" s="83" t="n">
        <x:f>MAX($G$686:$G$691)-G691</x:f>
        <x:v>8.16000623310373</x:v>
      </x:c>
      <x:c r="R691" s="73" t="str">
        <x:f>INDEX(TrackMap!$B$8:$B$141,H691)</x:f>
        <x:v>发车大直道</x:v>
      </x:c>
    </x:row>
    <x:row r="692" ht="20" customHeight="1">
      <x:c r="A692" s="73" t="n">
        <x:v>114</x:v>
      </x:c>
      <x:c r="B692" s="73" t="n">
        <x:v>1</x:v>
      </x:c>
      <x:c r="C692" s="73" t="str">
        <x:f>INDEX(Drivers!$B$8:$B$13,B692)</x:f>
        <x:v>赤焰</x:v>
      </x:c>
      <x:c r="D692" s="83" t="n">
        <x:f>G686</x:f>
        <x:v>384.99773556118134</x:v>
      </x:c>
      <x:c r="E692" s="83" t="str">
        <x:f>IF(A692=0,"GRID",IF(D692&gt;=Control!$B$17,"FINISHED",IF(AND(A692&gt;=INDEX(Drivers!$G$8:$G$13,B692),A692&lt;INDEX(Drivers!$G$8:$G$13,B692)+INDEX(Drivers!$J$8:$J$13,B692)),"PIT",IF(MOD(A692+INDEX(Drivers!$F$8:$F$13,B692),Control!$B$11)&lt;Control!$B$13,"BOOST","RACE"))))</x:f>
        <x:v>RACE</x:v>
      </x:c>
      <x:c r="F692" s="83" t="n">
        <x:f>IF(OR(E692="GRID",E692="FINISHED",E692="PIT"),0,MAX(Control!$B$15,(INDEX(Drivers!$D$8:$D$13,B692)+INDEX(Drivers!$E$8:$E$13,B692)*SIN((A692+INDEX(Drivers!$F$8:$F$13,B692)+Control!$B$16)*Control!$B$14))*INDEX(TrackMap!$M$8:$M$141,MOD(INT(D692)-1,Control!$B$7)+1)*IF(E692="BOOST",Control!$B$12,1)))</x:f>
        <x:v>3.5213426120873192</x:v>
      </x:c>
      <x:c r="G692" s="83" t="n">
        <x:f>IF(A692=0,D692,MIN(Control!$B$17,D692+F692))</x:f>
        <x:v>388.51907817326867</x:v>
      </x:c>
      <x:c r="H692" s="73" t="n">
        <x:f>MOD(INT(G692)-1,Control!$B$7)+1</x:f>
        <x:v>120</x:v>
      </x:c>
      <x:c r="I692" s="73" t="n">
        <x:f>MIN(Control!$B$6,MAX(1,INT(MAX(0,G692)/Control!$B$7)+1))</x:f>
        <x:v>3</x:v>
      </x:c>
      <x:c r="J692" s="73" t="n">
        <x:f>INDEX(Drivers!$H$8:$H$13,B692)</x:f>
        <x:v>1</x:v>
      </x:c>
      <x:c r="K692" s="73" t="n">
        <x:f>IF(J692=1,INDEX(TrackMap!$I$8:$I$141,H692),INDEX(TrackMap!$L$8:$L$141,H692))</x:f>
        <x:v>3131</x:v>
      </x:c>
      <x:c r="L692" s="73" t="str">
        <x:f>INDEX(TrackMap!$F$8:$F$141,H692)</x:f>
        <x:v>←</x:v>
      </x:c>
      <x:c r="M692" s="87" t="n">
        <x:f>MAX(0,G692/Control!$B$17)</x:f>
        <x:v>0.5798792211541324</x:v>
      </x:c>
      <x:c r="N692" s="73" t="n">
        <x:f>IF(N686&gt;0,N686,IF(G692&gt;=Control!$B$17,A692,0))</x:f>
        <x:v>0</x:v>
      </x:c>
      <x:c r="O692" s="91" t="n">
        <x:f>IF(N692&gt;0,Control!$B$17+Control!$B$8+1-N692,G692)-B692/100000</x:f>
        <x:v>388.5190681732687</x:v>
      </x:c>
      <x:c r="P692" s="73" t="n">
        <x:f>COUNTIF($O$692:$O$697,"&gt;"&amp;O692)+1</x:f>
        <x:v>4</x:v>
      </x:c>
      <x:c r="Q692" s="83" t="n">
        <x:f>MAX($G$692:$G$697)-G692</x:f>
        <x:v>15.953004917210876</x:v>
      </x:c>
      <x:c r="R692" s="73" t="str">
        <x:f>INDEX(TrackMap!$B$8:$B$141,H692)</x:f>
        <x:v>发车大直道</x:v>
      </x:c>
    </x:row>
    <x:row r="693" ht="20" customHeight="1">
      <x:c r="A693" s="73" t="n">
        <x:v>114</x:v>
      </x:c>
      <x:c r="B693" s="73" t="n">
        <x:v>2</x:v>
      </x:c>
      <x:c r="C693" s="73" t="str">
        <x:f>INDEX(Drivers!$B$8:$B$13,B693)</x:f>
        <x:v>蓝电</x:v>
      </x:c>
      <x:c r="D693" s="83" t="n">
        <x:f>G687</x:f>
        <x:v>383.9012203773966</x:v>
      </x:c>
      <x:c r="E693" s="83" t="str">
        <x:f>IF(A693=0,"GRID",IF(D693&gt;=Control!$B$17,"FINISHED",IF(AND(A693&gt;=INDEX(Drivers!$G$8:$G$13,B693),A693&lt;INDEX(Drivers!$G$8:$G$13,B693)+INDEX(Drivers!$J$8:$J$13,B693)),"PIT",IF(MOD(A693+INDEX(Drivers!$F$8:$F$13,B693),Control!$B$11)&lt;Control!$B$13,"BOOST","RACE"))))</x:f>
        <x:v>BOOST</x:v>
      </x:c>
      <x:c r="F693" s="83" t="n">
        <x:f>IF(OR(E693="GRID",E693="FINISHED",E693="PIT"),0,MAX(Control!$B$15,(INDEX(Drivers!$D$8:$D$13,B693)+INDEX(Drivers!$E$8:$E$13,B693)*SIN((A693+INDEX(Drivers!$F$8:$F$13,B693)+Control!$B$16)*Control!$B$14))*INDEX(TrackMap!$M$8:$M$141,MOD(INT(D693)-1,Control!$B$7)+1)*IF(E693="BOOST",Control!$B$12,1)))</x:f>
        <x:v>4.581677125311558</x:v>
      </x:c>
      <x:c r="G693" s="83" t="n">
        <x:f>IF(A693=0,D693,MIN(Control!$B$17,D693+F693))</x:f>
        <x:v>388.48289750270817</x:v>
      </x:c>
      <x:c r="H693" s="73" t="n">
        <x:f>MOD(INT(G693)-1,Control!$B$7)+1</x:f>
        <x:v>120</x:v>
      </x:c>
      <x:c r="I693" s="73" t="n">
        <x:f>MIN(Control!$B$6,MAX(1,INT(MAX(0,G693)/Control!$B$7)+1))</x:f>
        <x:v>3</x:v>
      </x:c>
      <x:c r="J693" s="73" t="n">
        <x:f>INDEX(Drivers!$H$8:$H$13,B693)</x:f>
        <x:v>2</x:v>
      </x:c>
      <x:c r="K693" s="73" t="n">
        <x:f>IF(J693=1,INDEX(TrackMap!$I$8:$I$141,H693),INDEX(TrackMap!$L$8:$L$141,H693))</x:f>
        <x:v>3031</x:v>
      </x:c>
      <x:c r="L693" s="73" t="str">
        <x:f>INDEX(TrackMap!$F$8:$F$141,H693)</x:f>
        <x:v>←</x:v>
      </x:c>
      <x:c r="M693" s="87" t="n">
        <x:f>MAX(0,G693/Control!$B$17)</x:f>
        <x:v>0.5798252201532957</x:v>
      </x:c>
      <x:c r="N693" s="73" t="n">
        <x:f>IF(N687&gt;0,N687,IF(G693&gt;=Control!$B$17,A693,0))</x:f>
        <x:v>0</x:v>
      </x:c>
      <x:c r="O693" s="91" t="n">
        <x:f>IF(N693&gt;0,Control!$B$17+Control!$B$8+1-N693,G693)-B693/100000</x:f>
        <x:v>388.48287750270816</x:v>
      </x:c>
      <x:c r="P693" s="73" t="n">
        <x:f>COUNTIF($O$692:$O$697,"&gt;"&amp;O693)+1</x:f>
        <x:v>5</x:v>
      </x:c>
      <x:c r="Q693" s="83" t="n">
        <x:f>MAX($G$692:$G$697)-G693</x:f>
        <x:v>15.989185587771374</x:v>
      </x:c>
      <x:c r="R693" s="73" t="str">
        <x:f>INDEX(TrackMap!$B$8:$B$141,H693)</x:f>
        <x:v>发车大直道</x:v>
      </x:c>
    </x:row>
    <x:row r="694" ht="20" customHeight="1">
      <x:c r="A694" s="73" t="n">
        <x:v>114</x:v>
      </x:c>
      <x:c r="B694" s="73" t="n">
        <x:v>3</x:v>
      </x:c>
      <x:c r="C694" s="73" t="str">
        <x:f>INDEX(Drivers!$B$8:$B$13,B694)</x:f>
        <x:v>金翼</x:v>
      </x:c>
      <x:c r="D694" s="83" t="n">
        <x:f>G688</x:f>
        <x:v>401.28873163702144</x:v>
      </x:c>
      <x:c r="E694" s="83" t="str">
        <x:f>IF(A694=0,"GRID",IF(D694&gt;=Control!$B$17,"FINISHED",IF(AND(A694&gt;=INDEX(Drivers!$G$8:$G$13,B694),A694&lt;INDEX(Drivers!$G$8:$G$13,B694)+INDEX(Drivers!$J$8:$J$13,B694)),"PIT",IF(MOD(A694+INDEX(Drivers!$F$8:$F$13,B694),Control!$B$11)&lt;Control!$B$13,"BOOST","RACE"))))</x:f>
        <x:v>RACE</x:v>
      </x:c>
      <x:c r="F694" s="83" t="n">
        <x:f>IF(OR(E694="GRID",E694="FINISHED",E694="PIT"),0,MAX(Control!$B$15,(INDEX(Drivers!$D$8:$D$13,B694)+INDEX(Drivers!$E$8:$E$13,B694)*SIN((A694+INDEX(Drivers!$F$8:$F$13,B694)+Control!$B$16)*Control!$B$14))*INDEX(TrackMap!$M$8:$M$141,MOD(INT(D694)-1,Control!$B$7)+1)*IF(E694="BOOST",Control!$B$12,1)))</x:f>
        <x:v>3.1833514534580836</x:v>
      </x:c>
      <x:c r="G694" s="83" t="n">
        <x:f>IF(A694=0,D694,MIN(Control!$B$17,D694+F694))</x:f>
        <x:v>404.47208309047954</x:v>
      </x:c>
      <x:c r="H694" s="73" t="n">
        <x:f>MOD(INT(G694)-1,Control!$B$7)+1</x:f>
        <x:v>2</x:v>
      </x:c>
      <x:c r="I694" s="73" t="n">
        <x:f>MIN(Control!$B$6,MAX(1,INT(MAX(0,G694)/Control!$B$7)+1))</x:f>
        <x:v>4</x:v>
      </x:c>
      <x:c r="J694" s="73" t="n">
        <x:f>INDEX(Drivers!$H$8:$H$13,B694)</x:f>
        <x:v>1</x:v>
      </x:c>
      <x:c r="K694" s="73" t="n">
        <x:f>IF(J694=1,INDEX(TrackMap!$I$8:$I$141,H694),INDEX(TrackMap!$L$8:$L$141,H694))</x:f>
        <x:v>3115</x:v>
      </x:c>
      <x:c r="L694" s="73" t="str">
        <x:f>INDEX(TrackMap!$F$8:$F$141,H694)</x:f>
        <x:v>←</x:v>
      </x:c>
      <x:c r="M694" s="87" t="n">
        <x:f>MAX(0,G694/Control!$B$17)</x:f>
        <x:v>0.603689676254447</x:v>
      </x:c>
      <x:c r="N694" s="73" t="n">
        <x:f>IF(N688&gt;0,N688,IF(G694&gt;=Control!$B$17,A694,0))</x:f>
        <x:v>0</x:v>
      </x:c>
      <x:c r="O694" s="91" t="n">
        <x:f>IF(N694&gt;0,Control!$B$17+Control!$B$8+1-N694,G694)-B694/100000</x:f>
        <x:v>404.47205309047956</x:v>
      </x:c>
      <x:c r="P694" s="73" t="n">
        <x:f>COUNTIF($O$692:$O$697,"&gt;"&amp;O694)+1</x:f>
        <x:v>1</x:v>
      </x:c>
      <x:c r="Q694" s="83" t="n">
        <x:f>MAX($G$692:$G$697)-G694</x:f>
        <x:v>0</x:v>
      </x:c>
      <x:c r="R694" s="73" t="str">
        <x:f>INDEX(TrackMap!$B$8:$B$141,H694)</x:f>
        <x:v>发车大直道</x:v>
      </x:c>
    </x:row>
    <x:row r="695" ht="20" customHeight="1">
      <x:c r="A695" s="73" t="n">
        <x:v>114</x:v>
      </x:c>
      <x:c r="B695" s="73" t="n">
        <x:v>4</x:v>
      </x:c>
      <x:c r="C695" s="73" t="str">
        <x:f>INDEX(Drivers!$B$8:$B$13,B695)</x:f>
        <x:v>紫影</x:v>
      </x:c>
      <x:c r="D695" s="83" t="n">
        <x:f>G689</x:f>
        <x:v>375.312889450452</x:v>
      </x:c>
      <x:c r="E695" s="83" t="str">
        <x:f>IF(A695=0,"GRID",IF(D695&gt;=Control!$B$17,"FINISHED",IF(AND(A695&gt;=INDEX(Drivers!$G$8:$G$13,B695),A695&lt;INDEX(Drivers!$G$8:$G$13,B695)+INDEX(Drivers!$J$8:$J$13,B695)),"PIT",IF(MOD(A695+INDEX(Drivers!$F$8:$F$13,B695),Control!$B$11)&lt;Control!$B$13,"BOOST","RACE"))))</x:f>
        <x:v>RACE</x:v>
      </x:c>
      <x:c r="F695" s="83" t="n">
        <x:f>IF(OR(E695="GRID",E695="FINISHED",E695="PIT"),0,MAX(Control!$B$15,(INDEX(Drivers!$D$8:$D$13,B695)+INDEX(Drivers!$E$8:$E$13,B695)*SIN((A695+INDEX(Drivers!$F$8:$F$13,B695)+Control!$B$16)*Control!$B$14))*INDEX(TrackMap!$M$8:$M$141,MOD(INT(D695)-1,Control!$B$7)+1)*IF(E695="BOOST",Control!$B$12,1)))</x:f>
        <x:v>3.0266985650756</x:v>
      </x:c>
      <x:c r="G695" s="83" t="n">
        <x:f>IF(A695=0,D695,MIN(Control!$B$17,D695+F695))</x:f>
        <x:v>378.3395880155276</x:v>
      </x:c>
      <x:c r="H695" s="73" t="n">
        <x:f>MOD(INT(G695)-1,Control!$B$7)+1</x:f>
        <x:v>110</x:v>
      </x:c>
      <x:c r="I695" s="73" t="n">
        <x:f>MIN(Control!$B$6,MAX(1,INT(MAX(0,G695)/Control!$B$7)+1))</x:f>
        <x:v>3</x:v>
      </x:c>
      <x:c r="J695" s="73" t="n">
        <x:f>INDEX(Drivers!$H$8:$H$13,B695)</x:f>
        <x:v>2</x:v>
      </x:c>
      <x:c r="K695" s="73" t="n">
        <x:f>IF(J695=1,INDEX(TrackMap!$I$8:$I$141,H695),INDEX(TrackMap!$L$8:$L$141,H695))</x:f>
        <x:v>3041</x:v>
      </x:c>
      <x:c r="L695" s="73" t="str">
        <x:f>INDEX(TrackMap!$F$8:$F$141,H695)</x:f>
        <x:v>←</x:v>
      </x:c>
      <x:c r="M695" s="87" t="n">
        <x:f>MAX(0,G695/Control!$B$17)</x:f>
        <x:v>0.5646859522619815</x:v>
      </x:c>
      <x:c r="N695" s="73" t="n">
        <x:f>IF(N689&gt;0,N689,IF(G695&gt;=Control!$B$17,A695,0))</x:f>
        <x:v>0</x:v>
      </x:c>
      <x:c r="O695" s="91" t="n">
        <x:f>IF(N695&gt;0,Control!$B$17+Control!$B$8+1-N695,G695)-B695/100000</x:f>
        <x:v>378.3395480155276</x:v>
      </x:c>
      <x:c r="P695" s="73" t="n">
        <x:f>COUNTIF($O$692:$O$697,"&gt;"&amp;O695)+1</x:f>
        <x:v>6</x:v>
      </x:c>
      <x:c r="Q695" s="83" t="n">
        <x:f>MAX($G$692:$G$697)-G695</x:f>
        <x:v>26.13249507495192</x:v>
      </x:c>
      <x:c r="R695" s="73" t="str">
        <x:f>INDEX(TrackMap!$B$8:$B$141,H695)</x:f>
        <x:v>发车大直道</x:v>
      </x:c>
    </x:row>
    <x:row r="696" ht="20" customHeight="1">
      <x:c r="A696" s="73" t="n">
        <x:v>114</x:v>
      </x:c>
      <x:c r="B696" s="73" t="n">
        <x:v>5</x:v>
      </x:c>
      <x:c r="C696" s="73" t="str">
        <x:f>INDEX(Drivers!$B$8:$B$13,B696)</x:f>
        <x:v>青锋</x:v>
      </x:c>
      <x:c r="D696" s="83" t="n">
        <x:f>G690</x:f>
        <x:v>388.9576519842009</x:v>
      </x:c>
      <x:c r="E696" s="83" t="str">
        <x:f>IF(A696=0,"GRID",IF(D696&gt;=Control!$B$17,"FINISHED",IF(AND(A696&gt;=INDEX(Drivers!$G$8:$G$13,B696),A696&lt;INDEX(Drivers!$G$8:$G$13,B696)+INDEX(Drivers!$J$8:$J$13,B696)),"PIT",IF(MOD(A696+INDEX(Drivers!$F$8:$F$13,B696),Control!$B$11)&lt;Control!$B$13,"BOOST","RACE"))))</x:f>
        <x:v>RACE</x:v>
      </x:c>
      <x:c r="F696" s="83" t="n">
        <x:f>IF(OR(E696="GRID",E696="FINISHED",E696="PIT"),0,MAX(Control!$B$15,(INDEX(Drivers!$D$8:$D$13,B696)+INDEX(Drivers!$E$8:$E$13,B696)*SIN((A696+INDEX(Drivers!$F$8:$F$13,B696)+Control!$B$16)*Control!$B$14))*INDEX(TrackMap!$M$8:$M$141,MOD(INT(D696)-1,Control!$B$7)+1)*IF(E696="BOOST",Control!$B$12,1)))</x:f>
        <x:v>3.1154805371988212</x:v>
      </x:c>
      <x:c r="G696" s="83" t="n">
        <x:f>IF(A696=0,D696,MIN(Control!$B$17,D696+F696))</x:f>
        <x:v>392.0731325213997</x:v>
      </x:c>
      <x:c r="H696" s="73" t="n">
        <x:f>MOD(INT(G696)-1,Control!$B$7)+1</x:f>
        <x:v>124</x:v>
      </x:c>
      <x:c r="I696" s="73" t="n">
        <x:f>MIN(Control!$B$6,MAX(1,INT(MAX(0,G696)/Control!$B$7)+1))</x:f>
        <x:v>3</x:v>
      </x:c>
      <x:c r="J696" s="73" t="n">
        <x:f>INDEX(Drivers!$H$8:$H$13,B696)</x:f>
        <x:v>1</x:v>
      </x:c>
      <x:c r="K696" s="73" t="n">
        <x:f>IF(J696=1,INDEX(TrackMap!$I$8:$I$141,H696),INDEX(TrackMap!$L$8:$L$141,H696))</x:f>
        <x:v>3127</x:v>
      </x:c>
      <x:c r="L696" s="73" t="str">
        <x:f>INDEX(TrackMap!$F$8:$F$141,H696)</x:f>
        <x:v>←</x:v>
      </x:c>
      <x:c r="M696" s="87" t="n">
        <x:f>MAX(0,G696/Control!$B$17)</x:f>
        <x:v>0.5851837798826861</x:v>
      </x:c>
      <x:c r="N696" s="73" t="n">
        <x:f>IF(N690&gt;0,N690,IF(G696&gt;=Control!$B$17,A696,0))</x:f>
        <x:v>0</x:v>
      </x:c>
      <x:c r="O696" s="91" t="n">
        <x:f>IF(N696&gt;0,Control!$B$17+Control!$B$8+1-N696,G696)-B696/100000</x:f>
        <x:v>392.0730825213997</x:v>
      </x:c>
      <x:c r="P696" s="73" t="n">
        <x:f>COUNTIF($O$692:$O$697,"&gt;"&amp;O696)+1</x:f>
        <x:v>3</x:v>
      </x:c>
      <x:c r="Q696" s="83" t="n">
        <x:f>MAX($G$692:$G$697)-G696</x:f>
        <x:v>12.39895056907983</x:v>
      </x:c>
      <x:c r="R696" s="73" t="str">
        <x:f>INDEX(TrackMap!$B$8:$B$141,H696)</x:f>
        <x:v>发车大直道</x:v>
      </x:c>
    </x:row>
    <x:row r="697" ht="20" customHeight="1">
      <x:c r="A697" s="73" t="n">
        <x:v>114</x:v>
      </x:c>
      <x:c r="B697" s="73" t="n">
        <x:v>6</x:v>
      </x:c>
      <x:c r="C697" s="73" t="str">
        <x:f>INDEX(Drivers!$B$8:$B$13,B697)</x:f>
        <x:v>玫速</x:v>
      </x:c>
      <x:c r="D697" s="83" t="n">
        <x:f>G691</x:f>
        <x:v>393.1287254039177</x:v>
      </x:c>
      <x:c r="E697" s="83" t="str">
        <x:f>IF(A697=0,"GRID",IF(D697&gt;=Control!$B$17,"FINISHED",IF(AND(A697&gt;=INDEX(Drivers!$G$8:$G$13,B697),A697&lt;INDEX(Drivers!$G$8:$G$13,B697)+INDEX(Drivers!$J$8:$J$13,B697)),"PIT",IF(MOD(A697+INDEX(Drivers!$F$8:$F$13,B697),Control!$B$11)&lt;Control!$B$13,"BOOST","RACE"))))</x:f>
        <x:v>BOOST</x:v>
      </x:c>
      <x:c r="F697" s="83" t="n">
        <x:f>IF(OR(E697="GRID",E697="FINISHED",E697="PIT"),0,MAX(Control!$B$15,(INDEX(Drivers!$D$8:$D$13,B697)+INDEX(Drivers!$E$8:$E$13,B697)*SIN((A697+INDEX(Drivers!$F$8:$F$13,B697)+Control!$B$16)*Control!$B$14))*INDEX(TrackMap!$M$8:$M$141,MOD(INT(D697)-1,Control!$B$7)+1)*IF(E697="BOOST",Control!$B$12,1)))</x:f>
        <x:v>5.712064202469402</x:v>
      </x:c>
      <x:c r="G697" s="83" t="n">
        <x:f>IF(A697=0,D697,MIN(Control!$B$17,D697+F697))</x:f>
        <x:v>398.8407896063871</x:v>
      </x:c>
      <x:c r="H697" s="73" t="n">
        <x:f>MOD(INT(G697)-1,Control!$B$7)+1</x:f>
        <x:v>130</x:v>
      </x:c>
      <x:c r="I697" s="73" t="n">
        <x:f>MIN(Control!$B$6,MAX(1,INT(MAX(0,G697)/Control!$B$7)+1))</x:f>
        <x:v>3</x:v>
      </x:c>
      <x:c r="J697" s="73" t="n">
        <x:f>INDEX(Drivers!$H$8:$H$13,B697)</x:f>
        <x:v>2</x:v>
      </x:c>
      <x:c r="K697" s="73" t="n">
        <x:f>IF(J697=1,INDEX(TrackMap!$I$8:$I$141,H697),INDEX(TrackMap!$L$8:$L$141,H697))</x:f>
        <x:v>3021</x:v>
      </x:c>
      <x:c r="L697" s="73" t="str">
        <x:f>INDEX(TrackMap!$F$8:$F$141,H697)</x:f>
        <x:v>←</x:v>
      </x:c>
      <x:c r="M697" s="87" t="n">
        <x:f>MAX(0,G697/Control!$B$17)</x:f>
        <x:v>0.5952847606065479</x:v>
      </x:c>
      <x:c r="N697" s="73" t="n">
        <x:f>IF(N691&gt;0,N691,IF(G697&gt;=Control!$B$17,A697,0))</x:f>
        <x:v>0</x:v>
      </x:c>
      <x:c r="O697" s="91" t="n">
        <x:f>IF(N697&gt;0,Control!$B$17+Control!$B$8+1-N697,G697)-B697/100000</x:f>
        <x:v>398.8407296063871</x:v>
      </x:c>
      <x:c r="P697" s="73" t="n">
        <x:f>COUNTIF($O$692:$O$697,"&gt;"&amp;O697)+1</x:f>
        <x:v>2</x:v>
      </x:c>
      <x:c r="Q697" s="83" t="n">
        <x:f>MAX($G$692:$G$697)-G697</x:f>
        <x:v>5.631293484092453</x:v>
      </x:c>
      <x:c r="R697" s="73" t="str">
        <x:f>INDEX(TrackMap!$B$8:$B$141,H697)</x:f>
        <x:v>发车大直道</x:v>
      </x:c>
    </x:row>
    <x:row r="698" ht="20" customHeight="1">
      <x:c r="A698" s="73" t="n">
        <x:v>115</x:v>
      </x:c>
      <x:c r="B698" s="73" t="n">
        <x:v>1</x:v>
      </x:c>
      <x:c r="C698" s="73" t="str">
        <x:f>INDEX(Drivers!$B$8:$B$13,B698)</x:f>
        <x:v>赤焰</x:v>
      </x:c>
      <x:c r="D698" s="83" t="n">
        <x:f>G692</x:f>
        <x:v>388.51907817326867</x:v>
      </x:c>
      <x:c r="E698" s="83" t="str">
        <x:f>IF(A698=0,"GRID",IF(D698&gt;=Control!$B$17,"FINISHED",IF(AND(A698&gt;=INDEX(Drivers!$G$8:$G$13,B698),A698&lt;INDEX(Drivers!$G$8:$G$13,B698)+INDEX(Drivers!$J$8:$J$13,B698)),"PIT",IF(MOD(A698+INDEX(Drivers!$F$8:$F$13,B698),Control!$B$11)&lt;Control!$B$13,"BOOST","RACE"))))</x:f>
        <x:v>RACE</x:v>
      </x:c>
      <x:c r="F698" s="83" t="n">
        <x:f>IF(OR(E698="GRID",E698="FINISHED",E698="PIT"),0,MAX(Control!$B$15,(INDEX(Drivers!$D$8:$D$13,B698)+INDEX(Drivers!$E$8:$E$13,B698)*SIN((A698+INDEX(Drivers!$F$8:$F$13,B698)+Control!$B$16)*Control!$B$14))*INDEX(TrackMap!$M$8:$M$141,MOD(INT(D698)-1,Control!$B$7)+1)*IF(E698="BOOST",Control!$B$12,1)))</x:f>
        <x:v>3.3366788246755137</x:v>
      </x:c>
      <x:c r="G698" s="83" t="n">
        <x:f>IF(A698=0,D698,MIN(Control!$B$17,D698+F698))</x:f>
        <x:v>391.8557569979442</x:v>
      </x:c>
      <x:c r="H698" s="73" t="n">
        <x:f>MOD(INT(G698)-1,Control!$B$7)+1</x:f>
        <x:v>123</x:v>
      </x:c>
      <x:c r="I698" s="73" t="n">
        <x:f>MIN(Control!$B$6,MAX(1,INT(MAX(0,G698)/Control!$B$7)+1))</x:f>
        <x:v>3</x:v>
      </x:c>
      <x:c r="J698" s="73" t="n">
        <x:f>INDEX(Drivers!$H$8:$H$13,B698)</x:f>
        <x:v>1</x:v>
      </x:c>
      <x:c r="K698" s="73" t="n">
        <x:f>IF(J698=1,INDEX(TrackMap!$I$8:$I$141,H698),INDEX(TrackMap!$L$8:$L$141,H698))</x:f>
        <x:v>3128</x:v>
      </x:c>
      <x:c r="L698" s="73" t="str">
        <x:f>INDEX(TrackMap!$F$8:$F$141,H698)</x:f>
        <x:v>←</x:v>
      </x:c>
      <x:c r="M698" s="87" t="n">
        <x:f>MAX(0,G698/Control!$B$17)</x:f>
        <x:v>0.5848593388029018</x:v>
      </x:c>
      <x:c r="N698" s="73" t="n">
        <x:f>IF(N692&gt;0,N692,IF(G698&gt;=Control!$B$17,A698,0))</x:f>
        <x:v>0</x:v>
      </x:c>
      <x:c r="O698" s="91" t="n">
        <x:f>IF(N698&gt;0,Control!$B$17+Control!$B$8+1-N698,G698)-B698/100000</x:f>
        <x:v>391.8557469979442</x:v>
      </x:c>
      <x:c r="P698" s="73" t="n">
        <x:f>COUNTIF($O$698:$O$703,"&gt;"&amp;O698)+1</x:f>
        <x:v>4</x:v>
      </x:c>
      <x:c r="Q698" s="83" t="n">
        <x:f>MAX($G$698:$G$703)-G698</x:f>
        <x:v>16.554754422520375</x:v>
      </x:c>
      <x:c r="R698" s="73" t="str">
        <x:f>INDEX(TrackMap!$B$8:$B$141,H698)</x:f>
        <x:v>发车大直道</x:v>
      </x:c>
    </x:row>
    <x:row r="699" ht="20" customHeight="1">
      <x:c r="A699" s="73" t="n">
        <x:v>115</x:v>
      </x:c>
      <x:c r="B699" s="73" t="n">
        <x:v>2</x:v>
      </x:c>
      <x:c r="C699" s="73" t="str">
        <x:f>INDEX(Drivers!$B$8:$B$13,B699)</x:f>
        <x:v>蓝电</x:v>
      </x:c>
      <x:c r="D699" s="83" t="n">
        <x:f>G693</x:f>
        <x:v>388.48289750270817</x:v>
      </x:c>
      <x:c r="E699" s="83" t="str">
        <x:f>IF(A699=0,"GRID",IF(D699&gt;=Control!$B$17,"FINISHED",IF(AND(A699&gt;=INDEX(Drivers!$G$8:$G$13,B699),A699&lt;INDEX(Drivers!$G$8:$G$13,B699)+INDEX(Drivers!$J$8:$J$13,B699)),"PIT",IF(MOD(A699+INDEX(Drivers!$F$8:$F$13,B699),Control!$B$11)&lt;Control!$B$13,"BOOST","RACE"))))</x:f>
        <x:v>PIT</x:v>
      </x:c>
      <x:c r="F699" s="83" t="n">
        <x:f>IF(OR(E699="GRID",E699="FINISHED",E699="PIT"),0,MAX(Control!$B$15,(INDEX(Drivers!$D$8:$D$13,B699)+INDEX(Drivers!$E$8:$E$13,B699)*SIN((A699+INDEX(Drivers!$F$8:$F$13,B699)+Control!$B$16)*Control!$B$14))*INDEX(TrackMap!$M$8:$M$141,MOD(INT(D699)-1,Control!$B$7)+1)*IF(E699="BOOST",Control!$B$12,1)))</x:f>
        <x:v>0</x:v>
      </x:c>
      <x:c r="G699" s="83" t="n">
        <x:f>IF(A699=0,D699,MIN(Control!$B$17,D699+F699))</x:f>
        <x:v>388.48289750270817</x:v>
      </x:c>
      <x:c r="H699" s="73" t="n">
        <x:f>MOD(INT(G699)-1,Control!$B$7)+1</x:f>
        <x:v>120</x:v>
      </x:c>
      <x:c r="I699" s="73" t="n">
        <x:f>MIN(Control!$B$6,MAX(1,INT(MAX(0,G699)/Control!$B$7)+1))</x:f>
        <x:v>3</x:v>
      </x:c>
      <x:c r="J699" s="73" t="n">
        <x:f>INDEX(Drivers!$H$8:$H$13,B699)</x:f>
        <x:v>2</x:v>
      </x:c>
      <x:c r="K699" s="73" t="n">
        <x:f>IF(J699=1,INDEX(TrackMap!$I$8:$I$141,H699),INDEX(TrackMap!$L$8:$L$141,H699))</x:f>
        <x:v>3031</x:v>
      </x:c>
      <x:c r="L699" s="73" t="str">
        <x:f>INDEX(TrackMap!$F$8:$F$141,H699)</x:f>
        <x:v>←</x:v>
      </x:c>
      <x:c r="M699" s="87" t="n">
        <x:f>MAX(0,G699/Control!$B$17)</x:f>
        <x:v>0.5798252201532957</x:v>
      </x:c>
      <x:c r="N699" s="73" t="n">
        <x:f>IF(N693&gt;0,N693,IF(G699&gt;=Control!$B$17,A699,0))</x:f>
        <x:v>0</x:v>
      </x:c>
      <x:c r="O699" s="91" t="n">
        <x:f>IF(N699&gt;0,Control!$B$17+Control!$B$8+1-N699,G699)-B699/100000</x:f>
        <x:v>388.48287750270816</x:v>
      </x:c>
      <x:c r="P699" s="73" t="n">
        <x:f>COUNTIF($O$698:$O$703,"&gt;"&amp;O699)+1</x:f>
        <x:v>5</x:v>
      </x:c>
      <x:c r="Q699" s="83" t="n">
        <x:f>MAX($G$698:$G$703)-G699</x:f>
        <x:v>19.92761391775639</x:v>
      </x:c>
      <x:c r="R699" s="73" t="str">
        <x:f>INDEX(TrackMap!$B$8:$B$141,H699)</x:f>
        <x:v>发车大直道</x:v>
      </x:c>
    </x:row>
    <x:row r="700" ht="20" customHeight="1">
      <x:c r="A700" s="73" t="n">
        <x:v>115</x:v>
      </x:c>
      <x:c r="B700" s="73" t="n">
        <x:v>3</x:v>
      </x:c>
      <x:c r="C700" s="73" t="str">
        <x:f>INDEX(Drivers!$B$8:$B$13,B700)</x:f>
        <x:v>金翼</x:v>
      </x:c>
      <x:c r="D700" s="83" t="n">
        <x:f>G694</x:f>
        <x:v>404.47208309047954</x:v>
      </x:c>
      <x:c r="E700" s="83" t="str">
        <x:f>IF(A700=0,"GRID",IF(D700&gt;=Control!$B$17,"FINISHED",IF(AND(A700&gt;=INDEX(Drivers!$G$8:$G$13,B700),A700&lt;INDEX(Drivers!$G$8:$G$13,B700)+INDEX(Drivers!$J$8:$J$13,B700)),"PIT",IF(MOD(A700+INDEX(Drivers!$F$8:$F$13,B700),Control!$B$11)&lt;Control!$B$13,"BOOST","RACE"))))</x:f>
        <x:v>RACE</x:v>
      </x:c>
      <x:c r="F700" s="83" t="n">
        <x:f>IF(OR(E700="GRID",E700="FINISHED",E700="PIT"),0,MAX(Control!$B$15,(INDEX(Drivers!$D$8:$D$13,B700)+INDEX(Drivers!$E$8:$E$13,B700)*SIN((A700+INDEX(Drivers!$F$8:$F$13,B700)+Control!$B$16)*Control!$B$14))*INDEX(TrackMap!$M$8:$M$141,MOD(INT(D700)-1,Control!$B$7)+1)*IF(E700="BOOST",Control!$B$12,1)))</x:f>
        <x:v>3.938428329985019</x:v>
      </x:c>
      <x:c r="G700" s="83" t="n">
        <x:f>IF(A700=0,D700,MIN(Control!$B$17,D700+F700))</x:f>
        <x:v>408.41051142046456</x:v>
      </x:c>
      <x:c r="H700" s="73" t="n">
        <x:f>MOD(INT(G700)-1,Control!$B$7)+1</x:f>
        <x:v>6</x:v>
      </x:c>
      <x:c r="I700" s="73" t="n">
        <x:f>MIN(Control!$B$6,MAX(1,INT(MAX(0,G700)/Control!$B$7)+1))</x:f>
        <x:v>4</x:v>
      </x:c>
      <x:c r="J700" s="73" t="n">
        <x:f>INDEX(Drivers!$H$8:$H$13,B700)</x:f>
        <x:v>1</x:v>
      </x:c>
      <x:c r="K700" s="73" t="n">
        <x:f>IF(J700=1,INDEX(TrackMap!$I$8:$I$141,H700),INDEX(TrackMap!$L$8:$L$141,H700))</x:f>
        <x:v>3111</x:v>
      </x:c>
      <x:c r="L700" s="73" t="str">
        <x:f>INDEX(TrackMap!$F$8:$F$141,H700)</x:f>
        <x:v>←</x:v>
      </x:c>
      <x:c r="M700" s="87" t="n">
        <x:f>MAX(0,G700/Control!$B$17)</x:f>
        <x:v>0.6095679274932306</x:v>
      </x:c>
      <x:c r="N700" s="73" t="n">
        <x:f>IF(N694&gt;0,N694,IF(G700&gt;=Control!$B$17,A700,0))</x:f>
        <x:v>0</x:v>
      </x:c>
      <x:c r="O700" s="91" t="n">
        <x:f>IF(N700&gt;0,Control!$B$17+Control!$B$8+1-N700,G700)-B700/100000</x:f>
        <x:v>408.4104814204646</x:v>
      </x:c>
      <x:c r="P700" s="73" t="n">
        <x:f>COUNTIF($O$698:$O$703,"&gt;"&amp;O700)+1</x:f>
        <x:v>1</x:v>
      </x:c>
      <x:c r="Q700" s="83" t="n">
        <x:f>MAX($G$698:$G$703)-G700</x:f>
        <x:v>0</x:v>
      </x:c>
      <x:c r="R700" s="73" t="str">
        <x:f>INDEX(TrackMap!$B$8:$B$141,H700)</x:f>
        <x:v>发车大直道</x:v>
      </x:c>
    </x:row>
    <x:row r="701" ht="20" customHeight="1">
      <x:c r="A701" s="73" t="n">
        <x:v>115</x:v>
      </x:c>
      <x:c r="B701" s="73" t="n">
        <x:v>4</x:v>
      </x:c>
      <x:c r="C701" s="73" t="str">
        <x:f>INDEX(Drivers!$B$8:$B$13,B701)</x:f>
        <x:v>紫影</x:v>
      </x:c>
      <x:c r="D701" s="83" t="n">
        <x:f>G695</x:f>
        <x:v>378.3395880155276</x:v>
      </x:c>
      <x:c r="E701" s="83" t="str">
        <x:f>IF(A701=0,"GRID",IF(D701&gt;=Control!$B$17,"FINISHED",IF(AND(A701&gt;=INDEX(Drivers!$G$8:$G$13,B701),A701&lt;INDEX(Drivers!$G$8:$G$13,B701)+INDEX(Drivers!$J$8:$J$13,B701)),"PIT",IF(MOD(A701+INDEX(Drivers!$F$8:$F$13,B701),Control!$B$11)&lt;Control!$B$13,"BOOST","RACE"))))</x:f>
        <x:v>RACE</x:v>
      </x:c>
      <x:c r="F701" s="83" t="n">
        <x:f>IF(OR(E701="GRID",E701="FINISHED",E701="PIT"),0,MAX(Control!$B$15,(INDEX(Drivers!$D$8:$D$13,B701)+INDEX(Drivers!$E$8:$E$13,B701)*SIN((A701+INDEX(Drivers!$F$8:$F$13,B701)+Control!$B$16)*Control!$B$14))*INDEX(TrackMap!$M$8:$M$141,MOD(INT(D701)-1,Control!$B$7)+1)*IF(E701="BOOST",Control!$B$12,1)))</x:f>
        <x:v>3.0972794469287597</x:v>
      </x:c>
      <x:c r="G701" s="83" t="n">
        <x:f>IF(A701=0,D701,MIN(Control!$B$17,D701+F701))</x:f>
        <x:v>381.4368674624564</x:v>
      </x:c>
      <x:c r="H701" s="73" t="n">
        <x:f>MOD(INT(G701)-1,Control!$B$7)+1</x:f>
        <x:v>113</x:v>
      </x:c>
      <x:c r="I701" s="73" t="n">
        <x:f>MIN(Control!$B$6,MAX(1,INT(MAX(0,G701)/Control!$B$7)+1))</x:f>
        <x:v>3</x:v>
      </x:c>
      <x:c r="J701" s="73" t="n">
        <x:f>INDEX(Drivers!$H$8:$H$13,B701)</x:f>
        <x:v>2</x:v>
      </x:c>
      <x:c r="K701" s="73" t="n">
        <x:f>IF(J701=1,INDEX(TrackMap!$I$8:$I$141,H701),INDEX(TrackMap!$L$8:$L$141,H701))</x:f>
        <x:v>3038</x:v>
      </x:c>
      <x:c r="L701" s="73" t="str">
        <x:f>INDEX(TrackMap!$F$8:$F$141,H701)</x:f>
        <x:v>←</x:v>
      </x:c>
      <x:c r="M701" s="87" t="n">
        <x:f>MAX(0,G701/Control!$B$17)</x:f>
        <x:v>0.5693087574066513</x:v>
      </x:c>
      <x:c r="N701" s="73" t="n">
        <x:f>IF(N695&gt;0,N695,IF(G701&gt;=Control!$B$17,A701,0))</x:f>
        <x:v>0</x:v>
      </x:c>
      <x:c r="O701" s="91" t="n">
        <x:f>IF(N701&gt;0,Control!$B$17+Control!$B$8+1-N701,G701)-B701/100000</x:f>
        <x:v>381.4368274624564</x:v>
      </x:c>
      <x:c r="P701" s="73" t="n">
        <x:f>COUNTIF($O$698:$O$703,"&gt;"&amp;O701)+1</x:f>
        <x:v>6</x:v>
      </x:c>
      <x:c r="Q701" s="83" t="n">
        <x:f>MAX($G$698:$G$703)-G701</x:f>
        <x:v>26.973643958008154</x:v>
      </x:c>
      <x:c r="R701" s="73" t="str">
        <x:f>INDEX(TrackMap!$B$8:$B$141,H701)</x:f>
        <x:v>发车大直道</x:v>
      </x:c>
    </x:row>
    <x:row r="702" ht="20" customHeight="1">
      <x:c r="A702" s="73" t="n">
        <x:v>115</x:v>
      </x:c>
      <x:c r="B702" s="73" t="n">
        <x:v>5</x:v>
      </x:c>
      <x:c r="C702" s="73" t="str">
        <x:f>INDEX(Drivers!$B$8:$B$13,B702)</x:f>
        <x:v>青锋</x:v>
      </x:c>
      <x:c r="D702" s="83" t="n">
        <x:f>G696</x:f>
        <x:v>392.0731325213997</x:v>
      </x:c>
      <x:c r="E702" s="83" t="str">
        <x:f>IF(A702=0,"GRID",IF(D702&gt;=Control!$B$17,"FINISHED",IF(AND(A702&gt;=INDEX(Drivers!$G$8:$G$13,B702),A702&lt;INDEX(Drivers!$G$8:$G$13,B702)+INDEX(Drivers!$J$8:$J$13,B702)),"PIT",IF(MOD(A702+INDEX(Drivers!$F$8:$F$13,B702),Control!$B$11)&lt;Control!$B$13,"BOOST","RACE"))))</x:f>
        <x:v>RACE</x:v>
      </x:c>
      <x:c r="F702" s="83" t="n">
        <x:f>IF(OR(E702="GRID",E702="FINISHED",E702="PIT"),0,MAX(Control!$B$15,(INDEX(Drivers!$D$8:$D$13,B702)+INDEX(Drivers!$E$8:$E$13,B702)*SIN((A702+INDEX(Drivers!$F$8:$F$13,B702)+Control!$B$16)*Control!$B$14))*INDEX(TrackMap!$M$8:$M$141,MOD(INT(D702)-1,Control!$B$7)+1)*IF(E702="BOOST",Control!$B$12,1)))</x:f>
        <x:v>3.177528194325464</x:v>
      </x:c>
      <x:c r="G702" s="83" t="n">
        <x:f>IF(A702=0,D702,MIN(Control!$B$17,D702+F702))</x:f>
        <x:v>395.2506607157252</x:v>
      </x:c>
      <x:c r="H702" s="73" t="n">
        <x:f>MOD(INT(G702)-1,Control!$B$7)+1</x:f>
        <x:v>127</x:v>
      </x:c>
      <x:c r="I702" s="73" t="n">
        <x:f>MIN(Control!$B$6,MAX(1,INT(MAX(0,G702)/Control!$B$7)+1))</x:f>
        <x:v>3</x:v>
      </x:c>
      <x:c r="J702" s="73" t="n">
        <x:f>INDEX(Drivers!$H$8:$H$13,B702)</x:f>
        <x:v>1</x:v>
      </x:c>
      <x:c r="K702" s="73" t="n">
        <x:f>IF(J702=1,INDEX(TrackMap!$I$8:$I$141,H702),INDEX(TrackMap!$L$8:$L$141,H702))</x:f>
        <x:v>3124</x:v>
      </x:c>
      <x:c r="L702" s="73" t="str">
        <x:f>INDEX(TrackMap!$F$8:$F$141,H702)</x:f>
        <x:v>←</x:v>
      </x:c>
      <x:c r="M702" s="87" t="n">
        <x:f>MAX(0,G702/Control!$B$17)</x:f>
        <x:v>0.5899263592772018</x:v>
      </x:c>
      <x:c r="N702" s="73" t="n">
        <x:f>IF(N696&gt;0,N696,IF(G702&gt;=Control!$B$17,A702,0))</x:f>
        <x:v>0</x:v>
      </x:c>
      <x:c r="O702" s="91" t="n">
        <x:f>IF(N702&gt;0,Control!$B$17+Control!$B$8+1-N702,G702)-B702/100000</x:f>
        <x:v>395.2506107157252</x:v>
      </x:c>
      <x:c r="P702" s="73" t="n">
        <x:f>COUNTIF($O$698:$O$703,"&gt;"&amp;O702)+1</x:f>
        <x:v>3</x:v>
      </x:c>
      <x:c r="Q702" s="83" t="n">
        <x:f>MAX($G$698:$G$703)-G702</x:f>
        <x:v>13.15985070473937</x:v>
      </x:c>
      <x:c r="R702" s="73" t="str">
        <x:f>INDEX(TrackMap!$B$8:$B$141,H702)</x:f>
        <x:v>发车大直道</x:v>
      </x:c>
    </x:row>
    <x:row r="703" ht="20" customHeight="1">
      <x:c r="A703" s="73" t="n">
        <x:v>115</x:v>
      </x:c>
      <x:c r="B703" s="73" t="n">
        <x:v>6</x:v>
      </x:c>
      <x:c r="C703" s="73" t="str">
        <x:f>INDEX(Drivers!$B$8:$B$13,B703)</x:f>
        <x:v>玫速</x:v>
      </x:c>
      <x:c r="D703" s="83" t="n">
        <x:f>G697</x:f>
        <x:v>398.8407896063871</x:v>
      </x:c>
      <x:c r="E703" s="83" t="str">
        <x:f>IF(A703=0,"GRID",IF(D703&gt;=Control!$B$17,"FINISHED",IF(AND(A703&gt;=INDEX(Drivers!$G$8:$G$13,B703),A703&lt;INDEX(Drivers!$G$8:$G$13,B703)+INDEX(Drivers!$J$8:$J$13,B703)),"PIT",IF(MOD(A703+INDEX(Drivers!$F$8:$F$13,B703),Control!$B$11)&lt;Control!$B$13,"BOOST","RACE"))))</x:f>
        <x:v>RACE</x:v>
      </x:c>
      <x:c r="F703" s="83" t="n">
        <x:f>IF(OR(E703="GRID",E703="FINISHED",E703="PIT"),0,MAX(Control!$B$15,(INDEX(Drivers!$D$8:$D$13,B703)+INDEX(Drivers!$E$8:$E$13,B703)*SIN((A703+INDEX(Drivers!$F$8:$F$13,B703)+Control!$B$16)*Control!$B$14))*INDEX(TrackMap!$M$8:$M$141,MOD(INT(D703)-1,Control!$B$7)+1)*IF(E703="BOOST",Control!$B$12,1)))</x:f>
        <x:v>4.279605198248786</x:v>
      </x:c>
      <x:c r="G703" s="83" t="n">
        <x:f>IF(A703=0,D703,MIN(Control!$B$17,D703+F703))</x:f>
        <x:v>403.12039480463585</x:v>
      </x:c>
      <x:c r="H703" s="73" t="n">
        <x:f>MOD(INT(G703)-1,Control!$B$7)+1</x:f>
        <x:v>1</x:v>
      </x:c>
      <x:c r="I703" s="73" t="n">
        <x:f>MIN(Control!$B$6,MAX(1,INT(MAX(0,G703)/Control!$B$7)+1))</x:f>
        <x:v>4</x:v>
      </x:c>
      <x:c r="J703" s="73" t="n">
        <x:f>INDEX(Drivers!$H$8:$H$13,B703)</x:f>
        <x:v>2</x:v>
      </x:c>
      <x:c r="K703" s="73" t="n">
        <x:f>IF(J703=1,INDEX(TrackMap!$I$8:$I$141,H703),INDEX(TrackMap!$L$8:$L$141,H703))</x:f>
        <x:v>3016</x:v>
      </x:c>
      <x:c r="L703" s="73" t="str">
        <x:f>INDEX(TrackMap!$F$8:$F$141,H703)</x:f>
        <x:v>←</x:v>
      </x:c>
      <x:c r="M703" s="87" t="n">
        <x:f>MAX(0,G703/Control!$B$17)</x:f>
        <x:v>0.6016722310516953</x:v>
      </x:c>
      <x:c r="N703" s="73" t="n">
        <x:f>IF(N697&gt;0,N697,IF(G703&gt;=Control!$B$17,A703,0))</x:f>
        <x:v>0</x:v>
      </x:c>
      <x:c r="O703" s="91" t="n">
        <x:f>IF(N703&gt;0,Control!$B$17+Control!$B$8+1-N703,G703)-B703/100000</x:f>
        <x:v>403.12033480463583</x:v>
      </x:c>
      <x:c r="P703" s="73" t="n">
        <x:f>COUNTIF($O$698:$O$703,"&gt;"&amp;O703)+1</x:f>
        <x:v>2</x:v>
      </x:c>
      <x:c r="Q703" s="83" t="n">
        <x:f>MAX($G$698:$G$703)-G703</x:f>
        <x:v>5.290116615828708</x:v>
      </x:c>
      <x:c r="R703" s="73" t="str">
        <x:f>INDEX(TrackMap!$B$8:$B$141,H703)</x:f>
        <x:v>发车大直道</x:v>
      </x:c>
    </x:row>
    <x:row r="704" ht="20" customHeight="1">
      <x:c r="A704" s="73" t="n">
        <x:v>116</x:v>
      </x:c>
      <x:c r="B704" s="73" t="n">
        <x:v>1</x:v>
      </x:c>
      <x:c r="C704" s="73" t="str">
        <x:f>INDEX(Drivers!$B$8:$B$13,B704)</x:f>
        <x:v>赤焰</x:v>
      </x:c>
      <x:c r="D704" s="83" t="n">
        <x:f>G698</x:f>
        <x:v>391.8557569979442</x:v>
      </x:c>
      <x:c r="E704" s="83" t="str">
        <x:f>IF(A704=0,"GRID",IF(D704&gt;=Control!$B$17,"FINISHED",IF(AND(A704&gt;=INDEX(Drivers!$G$8:$G$13,B704),A704&lt;INDEX(Drivers!$G$8:$G$13,B704)+INDEX(Drivers!$J$8:$J$13,B704)),"PIT",IF(MOD(A704+INDEX(Drivers!$F$8:$F$13,B704),Control!$B$11)&lt;Control!$B$13,"BOOST","RACE"))))</x:f>
        <x:v>RACE</x:v>
      </x:c>
      <x:c r="F704" s="83" t="n">
        <x:f>IF(OR(E704="GRID",E704="FINISHED",E704="PIT"),0,MAX(Control!$B$15,(INDEX(Drivers!$D$8:$D$13,B704)+INDEX(Drivers!$E$8:$E$13,B704)*SIN((A704+INDEX(Drivers!$F$8:$F$13,B704)+Control!$B$16)*Control!$B$14))*INDEX(TrackMap!$M$8:$M$141,MOD(INT(D704)-1,Control!$B$7)+1)*IF(E704="BOOST",Control!$B$12,1)))</x:f>
        <x:v>3.1944215884877947</x:v>
      </x:c>
      <x:c r="G704" s="83" t="n">
        <x:f>IF(A704=0,D704,MIN(Control!$B$17,D704+F704))</x:f>
        <x:v>395.05017858643197</x:v>
      </x:c>
      <x:c r="H704" s="73" t="n">
        <x:f>MOD(INT(G704)-1,Control!$B$7)+1</x:f>
        <x:v>127</x:v>
      </x:c>
      <x:c r="I704" s="73" t="n">
        <x:f>MIN(Control!$B$6,MAX(1,INT(MAX(0,G704)/Control!$B$7)+1))</x:f>
        <x:v>3</x:v>
      </x:c>
      <x:c r="J704" s="73" t="n">
        <x:f>INDEX(Drivers!$H$8:$H$13,B704)</x:f>
        <x:v>1</x:v>
      </x:c>
      <x:c r="K704" s="73" t="n">
        <x:f>IF(J704=1,INDEX(TrackMap!$I$8:$I$141,H704),INDEX(TrackMap!$L$8:$L$141,H704))</x:f>
        <x:v>3124</x:v>
      </x:c>
      <x:c r="L704" s="73" t="str">
        <x:f>INDEX(TrackMap!$F$8:$F$141,H704)</x:f>
        <x:v>←</x:v>
      </x:c>
      <x:c r="M704" s="87" t="n">
        <x:f>MAX(0,G704/Control!$B$17)</x:f>
        <x:v>0.5896271322185552</x:v>
      </x:c>
      <x:c r="N704" s="73" t="n">
        <x:f>IF(N698&gt;0,N698,IF(G704&gt;=Control!$B$17,A704,0))</x:f>
        <x:v>0</x:v>
      </x:c>
      <x:c r="O704" s="91" t="n">
        <x:f>IF(N704&gt;0,Control!$B$17+Control!$B$8+1-N704,G704)-B704/100000</x:f>
        <x:v>395.050168586432</x:v>
      </x:c>
      <x:c r="P704" s="73" t="n">
        <x:f>COUNTIF($O$704:$O$709,"&gt;"&amp;O704)+1</x:f>
        <x:v>4</x:v>
      </x:c>
      <x:c r="Q704" s="83" t="n">
        <x:f>MAX($G$704:$G$709)-G704</x:f>
        <x:v>17.123699525931272</x:v>
      </x:c>
      <x:c r="R704" s="73" t="str">
        <x:f>INDEX(TrackMap!$B$8:$B$141,H704)</x:f>
        <x:v>发车大直道</x:v>
      </x:c>
    </x:row>
    <x:row r="705" ht="20" customHeight="1">
      <x:c r="A705" s="73" t="n">
        <x:v>116</x:v>
      </x:c>
      <x:c r="B705" s="73" t="n">
        <x:v>2</x:v>
      </x:c>
      <x:c r="C705" s="73" t="str">
        <x:f>INDEX(Drivers!$B$8:$B$13,B705)</x:f>
        <x:v>蓝电</x:v>
      </x:c>
      <x:c r="D705" s="83" t="n">
        <x:f>G699</x:f>
        <x:v>388.48289750270817</x:v>
      </x:c>
      <x:c r="E705" s="83" t="str">
        <x:f>IF(A705=0,"GRID",IF(D705&gt;=Control!$B$17,"FINISHED",IF(AND(A705&gt;=INDEX(Drivers!$G$8:$G$13,B705),A705&lt;INDEX(Drivers!$G$8:$G$13,B705)+INDEX(Drivers!$J$8:$J$13,B705)),"PIT",IF(MOD(A705+INDEX(Drivers!$F$8:$F$13,B705),Control!$B$11)&lt;Control!$B$13,"BOOST","RACE"))))</x:f>
        <x:v>PIT</x:v>
      </x:c>
      <x:c r="F705" s="83" t="n">
        <x:f>IF(OR(E705="GRID",E705="FINISHED",E705="PIT"),0,MAX(Control!$B$15,(INDEX(Drivers!$D$8:$D$13,B705)+INDEX(Drivers!$E$8:$E$13,B705)*SIN((A705+INDEX(Drivers!$F$8:$F$13,B705)+Control!$B$16)*Control!$B$14))*INDEX(TrackMap!$M$8:$M$141,MOD(INT(D705)-1,Control!$B$7)+1)*IF(E705="BOOST",Control!$B$12,1)))</x:f>
        <x:v>0</x:v>
      </x:c>
      <x:c r="G705" s="83" t="n">
        <x:f>IF(A705=0,D705,MIN(Control!$B$17,D705+F705))</x:f>
        <x:v>388.48289750270817</x:v>
      </x:c>
      <x:c r="H705" s="73" t="n">
        <x:f>MOD(INT(G705)-1,Control!$B$7)+1</x:f>
        <x:v>120</x:v>
      </x:c>
      <x:c r="I705" s="73" t="n">
        <x:f>MIN(Control!$B$6,MAX(1,INT(MAX(0,G705)/Control!$B$7)+1))</x:f>
        <x:v>3</x:v>
      </x:c>
      <x:c r="J705" s="73" t="n">
        <x:f>INDEX(Drivers!$H$8:$H$13,B705)</x:f>
        <x:v>2</x:v>
      </x:c>
      <x:c r="K705" s="73" t="n">
        <x:f>IF(J705=1,INDEX(TrackMap!$I$8:$I$141,H705),INDEX(TrackMap!$L$8:$L$141,H705))</x:f>
        <x:v>3031</x:v>
      </x:c>
      <x:c r="L705" s="73" t="str">
        <x:f>INDEX(TrackMap!$F$8:$F$141,H705)</x:f>
        <x:v>←</x:v>
      </x:c>
      <x:c r="M705" s="87" t="n">
        <x:f>MAX(0,G705/Control!$B$17)</x:f>
        <x:v>0.5798252201532957</x:v>
      </x:c>
      <x:c r="N705" s="73" t="n">
        <x:f>IF(N699&gt;0,N699,IF(G705&gt;=Control!$B$17,A705,0))</x:f>
        <x:v>0</x:v>
      </x:c>
      <x:c r="O705" s="91" t="n">
        <x:f>IF(N705&gt;0,Control!$B$17+Control!$B$8+1-N705,G705)-B705/100000</x:f>
        <x:v>388.48287750270816</x:v>
      </x:c>
      <x:c r="P705" s="73" t="n">
        <x:f>COUNTIF($O$704:$O$709,"&gt;"&amp;O705)+1</x:f>
        <x:v>5</x:v>
      </x:c>
      <x:c r="Q705" s="83" t="n">
        <x:f>MAX($G$704:$G$709)-G705</x:f>
        <x:v>23.69098060965507</x:v>
      </x:c>
      <x:c r="R705" s="73" t="str">
        <x:f>INDEX(TrackMap!$B$8:$B$141,H705)</x:f>
        <x:v>发车大直道</x:v>
      </x:c>
    </x:row>
    <x:row r="706" ht="20" customHeight="1">
      <x:c r="A706" s="73" t="n">
        <x:v>116</x:v>
      </x:c>
      <x:c r="B706" s="73" t="n">
        <x:v>3</x:v>
      </x:c>
      <x:c r="C706" s="73" t="str">
        <x:f>INDEX(Drivers!$B$8:$B$13,B706)</x:f>
        <x:v>金翼</x:v>
      </x:c>
      <x:c r="D706" s="83" t="n">
        <x:f>G700</x:f>
        <x:v>408.41051142046456</x:v>
      </x:c>
      <x:c r="E706" s="83" t="str">
        <x:f>IF(A706=0,"GRID",IF(D706&gt;=Control!$B$17,"FINISHED",IF(AND(A706&gt;=INDEX(Drivers!$G$8:$G$13,B706),A706&lt;INDEX(Drivers!$G$8:$G$13,B706)+INDEX(Drivers!$J$8:$J$13,B706)),"PIT",IF(MOD(A706+INDEX(Drivers!$F$8:$F$13,B706),Control!$B$11)&lt;Control!$B$13,"BOOST","RACE"))))</x:f>
        <x:v>RACE</x:v>
      </x:c>
      <x:c r="F706" s="83" t="n">
        <x:f>IF(OR(E706="GRID",E706="FINISHED",E706="PIT"),0,MAX(Control!$B$15,(INDEX(Drivers!$D$8:$D$13,B706)+INDEX(Drivers!$E$8:$E$13,B706)*SIN((A706+INDEX(Drivers!$F$8:$F$13,B706)+Control!$B$16)*Control!$B$14))*INDEX(TrackMap!$M$8:$M$141,MOD(INT(D706)-1,Control!$B$7)+1)*IF(E706="BOOST",Control!$B$12,1)))</x:f>
        <x:v>3.763366691898674</x:v>
      </x:c>
      <x:c r="G706" s="83" t="n">
        <x:f>IF(A706=0,D706,MIN(Control!$B$17,D706+F706))</x:f>
        <x:v>412.17387811236324</x:v>
      </x:c>
      <x:c r="H706" s="73" t="n">
        <x:f>MOD(INT(G706)-1,Control!$B$7)+1</x:f>
        <x:v>10</x:v>
      </x:c>
      <x:c r="I706" s="73" t="n">
        <x:f>MIN(Control!$B$6,MAX(1,INT(MAX(0,G706)/Control!$B$7)+1))</x:f>
        <x:v>4</x:v>
      </x:c>
      <x:c r="J706" s="73" t="n">
        <x:f>INDEX(Drivers!$H$8:$H$13,B706)</x:f>
        <x:v>1</x:v>
      </x:c>
      <x:c r="K706" s="73" t="n">
        <x:f>IF(J706=1,INDEX(TrackMap!$I$8:$I$141,H706),INDEX(TrackMap!$L$8:$L$141,H706))</x:f>
        <x:v>3107</x:v>
      </x:c>
      <x:c r="L706" s="73" t="str">
        <x:f>INDEX(TrackMap!$F$8:$F$141,H706)</x:f>
        <x:v>←</x:v>
      </x:c>
      <x:c r="M706" s="87" t="n">
        <x:f>MAX(0,G706/Control!$B$17)</x:f>
        <x:v>0.6151848927050197</x:v>
      </x:c>
      <x:c r="N706" s="73" t="n">
        <x:f>IF(N700&gt;0,N700,IF(G706&gt;=Control!$B$17,A706,0))</x:f>
        <x:v>0</x:v>
      </x:c>
      <x:c r="O706" s="91" t="n">
        <x:f>IF(N706&gt;0,Control!$B$17+Control!$B$8+1-N706,G706)-B706/100000</x:f>
        <x:v>412.17384811236326</x:v>
      </x:c>
      <x:c r="P706" s="73" t="n">
        <x:f>COUNTIF($O$704:$O$709,"&gt;"&amp;O706)+1</x:f>
        <x:v>1</x:v>
      </x:c>
      <x:c r="Q706" s="83" t="n">
        <x:f>MAX($G$704:$G$709)-G706</x:f>
        <x:v>0</x:v>
      </x:c>
      <x:c r="R706" s="73" t="str">
        <x:f>INDEX(TrackMap!$B$8:$B$141,H706)</x:f>
        <x:v>发车大直道</x:v>
      </x:c>
    </x:row>
    <x:row r="707" ht="20" customHeight="1">
      <x:c r="A707" s="73" t="n">
        <x:v>116</x:v>
      </x:c>
      <x:c r="B707" s="73" t="n">
        <x:v>4</x:v>
      </x:c>
      <x:c r="C707" s="73" t="str">
        <x:f>INDEX(Drivers!$B$8:$B$13,B707)</x:f>
        <x:v>紫影</x:v>
      </x:c>
      <x:c r="D707" s="83" t="n">
        <x:f>G701</x:f>
        <x:v>381.4368674624564</x:v>
      </x:c>
      <x:c r="E707" s="83" t="str">
        <x:f>IF(A707=0,"GRID",IF(D707&gt;=Control!$B$17,"FINISHED",IF(AND(A707&gt;=INDEX(Drivers!$G$8:$G$13,B707),A707&lt;INDEX(Drivers!$G$8:$G$13,B707)+INDEX(Drivers!$J$8:$J$13,B707)),"PIT",IF(MOD(A707+INDEX(Drivers!$F$8:$F$13,B707),Control!$B$11)&lt;Control!$B$13,"BOOST","RACE"))))</x:f>
        <x:v>RACE</x:v>
      </x:c>
      <x:c r="F707" s="83" t="n">
        <x:f>IF(OR(E707="GRID",E707="FINISHED",E707="PIT"),0,MAX(Control!$B$15,(INDEX(Drivers!$D$8:$D$13,B707)+INDEX(Drivers!$E$8:$E$13,B707)*SIN((A707+INDEX(Drivers!$F$8:$F$13,B707)+Control!$B$16)*Control!$B$14))*INDEX(TrackMap!$M$8:$M$141,MOD(INT(D707)-1,Control!$B$7)+1)*IF(E707="BOOST",Control!$B$12,1)))</x:f>
        <x:v>3.235901197271385</x:v>
      </x:c>
      <x:c r="G707" s="83" t="n">
        <x:f>IF(A707=0,D707,MIN(Control!$B$17,D707+F707))</x:f>
        <x:v>384.6727686597278</x:v>
      </x:c>
      <x:c r="H707" s="73" t="n">
        <x:f>MOD(INT(G707)-1,Control!$B$7)+1</x:f>
        <x:v>116</x:v>
      </x:c>
      <x:c r="I707" s="73" t="n">
        <x:f>MIN(Control!$B$6,MAX(1,INT(MAX(0,G707)/Control!$B$7)+1))</x:f>
        <x:v>3</x:v>
      </x:c>
      <x:c r="J707" s="73" t="n">
        <x:f>INDEX(Drivers!$H$8:$H$13,B707)</x:f>
        <x:v>2</x:v>
      </x:c>
      <x:c r="K707" s="73" t="n">
        <x:f>IF(J707=1,INDEX(TrackMap!$I$8:$I$141,H707),INDEX(TrackMap!$L$8:$L$141,H707))</x:f>
        <x:v>3035</x:v>
      </x:c>
      <x:c r="L707" s="73" t="str">
        <x:f>INDEX(TrackMap!$F$8:$F$141,H707)</x:f>
        <x:v>←</x:v>
      </x:c>
      <x:c r="M707" s="87" t="n">
        <x:f>MAX(0,G707/Control!$B$17)</x:f>
        <x:v>0.5741384606861609</x:v>
      </x:c>
      <x:c r="N707" s="73" t="n">
        <x:f>IF(N701&gt;0,N701,IF(G707&gt;=Control!$B$17,A707,0))</x:f>
        <x:v>0</x:v>
      </x:c>
      <x:c r="O707" s="91" t="n">
        <x:f>IF(N707&gt;0,Control!$B$17+Control!$B$8+1-N707,G707)-B707/100000</x:f>
        <x:v>384.6727286597278</x:v>
      </x:c>
      <x:c r="P707" s="73" t="n">
        <x:f>COUNTIF($O$704:$O$709,"&gt;"&amp;O707)+1</x:f>
        <x:v>6</x:v>
      </x:c>
      <x:c r="Q707" s="83" t="n">
        <x:f>MAX($G$704:$G$709)-G707</x:f>
        <x:v>27.501109452635433</x:v>
      </x:c>
      <x:c r="R707" s="73" t="str">
        <x:f>INDEX(TrackMap!$B$8:$B$141,H707)</x:f>
        <x:v>发车大直道</x:v>
      </x:c>
    </x:row>
    <x:row r="708" ht="20" customHeight="1">
      <x:c r="A708" s="73" t="n">
        <x:v>116</x:v>
      </x:c>
      <x:c r="B708" s="73" t="n">
        <x:v>5</x:v>
      </x:c>
      <x:c r="C708" s="73" t="str">
        <x:f>INDEX(Drivers!$B$8:$B$13,B708)</x:f>
        <x:v>青锋</x:v>
      </x:c>
      <x:c r="D708" s="83" t="n">
        <x:f>G702</x:f>
        <x:v>395.2506607157252</x:v>
      </x:c>
      <x:c r="E708" s="83" t="str">
        <x:f>IF(A708=0,"GRID",IF(D708&gt;=Control!$B$17,"FINISHED",IF(AND(A708&gt;=INDEX(Drivers!$G$8:$G$13,B708),A708&lt;INDEX(Drivers!$G$8:$G$13,B708)+INDEX(Drivers!$J$8:$J$13,B708)),"PIT",IF(MOD(A708+INDEX(Drivers!$F$8:$F$13,B708),Control!$B$11)&lt;Control!$B$13,"BOOST","RACE"))))</x:f>
        <x:v>RACE</x:v>
      </x:c>
      <x:c r="F708" s="83" t="n">
        <x:f>IF(OR(E708="GRID",E708="FINISHED",E708="PIT"),0,MAX(Control!$B$15,(INDEX(Drivers!$D$8:$D$13,B708)+INDEX(Drivers!$E$8:$E$13,B708)*SIN((A708+INDEX(Drivers!$F$8:$F$13,B708)+Control!$B$16)*Control!$B$14))*INDEX(TrackMap!$M$8:$M$141,MOD(INT(D708)-1,Control!$B$7)+1)*IF(E708="BOOST",Control!$B$12,1)))</x:f>
        <x:v>3.3008157877089586</x:v>
      </x:c>
      <x:c r="G708" s="83" t="n">
        <x:f>IF(A708=0,D708,MIN(Control!$B$17,D708+F708))</x:f>
        <x:v>398.5514765034342</x:v>
      </x:c>
      <x:c r="H708" s="73" t="n">
        <x:f>MOD(INT(G708)-1,Control!$B$7)+1</x:f>
        <x:v>130</x:v>
      </x:c>
      <x:c r="I708" s="73" t="n">
        <x:f>MIN(Control!$B$6,MAX(1,INT(MAX(0,G708)/Control!$B$7)+1))</x:f>
        <x:v>3</x:v>
      </x:c>
      <x:c r="J708" s="73" t="n">
        <x:f>INDEX(Drivers!$H$8:$H$13,B708)</x:f>
        <x:v>1</x:v>
      </x:c>
      <x:c r="K708" s="73" t="n">
        <x:f>IF(J708=1,INDEX(TrackMap!$I$8:$I$141,H708),INDEX(TrackMap!$L$8:$L$141,H708))</x:f>
        <x:v>3121</x:v>
      </x:c>
      <x:c r="L708" s="73" t="str">
        <x:f>INDEX(TrackMap!$F$8:$F$141,H708)</x:f>
        <x:v>←</x:v>
      </x:c>
      <x:c r="M708" s="87" t="n">
        <x:f>MAX(0,G708/Control!$B$17)</x:f>
        <x:v>0.5948529500051256</x:v>
      </x:c>
      <x:c r="N708" s="73" t="n">
        <x:f>IF(N702&gt;0,N702,IF(G708&gt;=Control!$B$17,A708,0))</x:f>
        <x:v>0</x:v>
      </x:c>
      <x:c r="O708" s="91" t="n">
        <x:f>IF(N708&gt;0,Control!$B$17+Control!$B$8+1-N708,G708)-B708/100000</x:f>
        <x:v>398.5514265034342</x:v>
      </x:c>
      <x:c r="P708" s="73" t="n">
        <x:f>COUNTIF($O$704:$O$709,"&gt;"&amp;O708)+1</x:f>
        <x:v>3</x:v>
      </x:c>
      <x:c r="Q708" s="83" t="n">
        <x:f>MAX($G$704:$G$709)-G708</x:f>
        <x:v>13.622401608929067</x:v>
      </x:c>
      <x:c r="R708" s="73" t="str">
        <x:f>INDEX(TrackMap!$B$8:$B$141,H708)</x:f>
        <x:v>发车大直道</x:v>
      </x:c>
    </x:row>
    <x:row r="709" ht="20" customHeight="1">
      <x:c r="A709" s="73" t="n">
        <x:v>116</x:v>
      </x:c>
      <x:c r="B709" s="73" t="n">
        <x:v>6</x:v>
      </x:c>
      <x:c r="C709" s="73" t="str">
        <x:f>INDEX(Drivers!$B$8:$B$13,B709)</x:f>
        <x:v>玫速</x:v>
      </x:c>
      <x:c r="D709" s="83" t="n">
        <x:f>G703</x:f>
        <x:v>403.12039480463585</x:v>
      </x:c>
      <x:c r="E709" s="83" t="str">
        <x:f>IF(A709=0,"GRID",IF(D709&gt;=Control!$B$17,"FINISHED",IF(AND(A709&gt;=INDEX(Drivers!$G$8:$G$13,B709),A709&lt;INDEX(Drivers!$G$8:$G$13,B709)+INDEX(Drivers!$J$8:$J$13,B709)),"PIT",IF(MOD(A709+INDEX(Drivers!$F$8:$F$13,B709),Control!$B$11)&lt;Control!$B$13,"BOOST","RACE"))))</x:f>
        <x:v>RACE</x:v>
      </x:c>
      <x:c r="F709" s="83" t="n">
        <x:f>IF(OR(E709="GRID",E709="FINISHED",E709="PIT"),0,MAX(Control!$B$15,(INDEX(Drivers!$D$8:$D$13,B709)+INDEX(Drivers!$E$8:$E$13,B709)*SIN((A709+INDEX(Drivers!$F$8:$F$13,B709)+Control!$B$16)*Control!$B$14))*INDEX(TrackMap!$M$8:$M$141,MOD(INT(D709)-1,Control!$B$7)+1)*IF(E709="BOOST",Control!$B$12,1)))</x:f>
        <x:v>3.3125804222892334</x:v>
      </x:c>
      <x:c r="G709" s="83" t="n">
        <x:f>IF(A709=0,D709,MIN(Control!$B$17,D709+F709))</x:f>
        <x:v>406.43297522692507</x:v>
      </x:c>
      <x:c r="H709" s="73" t="n">
        <x:f>MOD(INT(G709)-1,Control!$B$7)+1</x:f>
        <x:v>4</x:v>
      </x:c>
      <x:c r="I709" s="73" t="n">
        <x:f>MIN(Control!$B$6,MAX(1,INT(MAX(0,G709)/Control!$B$7)+1))</x:f>
        <x:v>4</x:v>
      </x:c>
      <x:c r="J709" s="73" t="n">
        <x:f>INDEX(Drivers!$H$8:$H$13,B709)</x:f>
        <x:v>2</x:v>
      </x:c>
      <x:c r="K709" s="73" t="n">
        <x:f>IF(J709=1,INDEX(TrackMap!$I$8:$I$141,H709),INDEX(TrackMap!$L$8:$L$141,H709))</x:f>
        <x:v>3013</x:v>
      </x:c>
      <x:c r="L709" s="73" t="str">
        <x:f>INDEX(TrackMap!$F$8:$F$141,H709)</x:f>
        <x:v>←</x:v>
      </x:c>
      <x:c r="M709" s="87" t="n">
        <x:f>MAX(0,G709/Control!$B$17)</x:f>
        <x:v>0.606616380935709</x:v>
      </x:c>
      <x:c r="N709" s="73" t="n">
        <x:f>IF(N703&gt;0,N703,IF(G709&gt;=Control!$B$17,A709,0))</x:f>
        <x:v>0</x:v>
      </x:c>
      <x:c r="O709" s="91" t="n">
        <x:f>IF(N709&gt;0,Control!$B$17+Control!$B$8+1-N709,G709)-B709/100000</x:f>
        <x:v>406.43291522692505</x:v>
      </x:c>
      <x:c r="P709" s="73" t="n">
        <x:f>COUNTIF($O$704:$O$709,"&gt;"&amp;O709)+1</x:f>
        <x:v>2</x:v>
      </x:c>
      <x:c r="Q709" s="83" t="n">
        <x:f>MAX($G$704:$G$709)-G709</x:f>
        <x:v>5.7409028854381745</x:v>
      </x:c>
      <x:c r="R709" s="73" t="str">
        <x:f>INDEX(TrackMap!$B$8:$B$141,H709)</x:f>
        <x:v>发车大直道</x:v>
      </x:c>
    </x:row>
    <x:row r="710" ht="20" customHeight="1">
      <x:c r="A710" s="73" t="n">
        <x:v>117</x:v>
      </x:c>
      <x:c r="B710" s="73" t="n">
        <x:v>1</x:v>
      </x:c>
      <x:c r="C710" s="73" t="str">
        <x:f>INDEX(Drivers!$B$8:$B$13,B710)</x:f>
        <x:v>赤焰</x:v>
      </x:c>
      <x:c r="D710" s="83" t="n">
        <x:f>G704</x:f>
        <x:v>395.05017858643197</x:v>
      </x:c>
      <x:c r="E710" s="83" t="str">
        <x:f>IF(A710=0,"GRID",IF(D710&gt;=Control!$B$17,"FINISHED",IF(AND(A710&gt;=INDEX(Drivers!$G$8:$G$13,B710),A710&lt;INDEX(Drivers!$G$8:$G$13,B710)+INDEX(Drivers!$J$8:$J$13,B710)),"PIT",IF(MOD(A710+INDEX(Drivers!$F$8:$F$13,B710),Control!$B$11)&lt;Control!$B$13,"BOOST","RACE"))))</x:f>
        <x:v>RACE</x:v>
      </x:c>
      <x:c r="F710" s="83" t="n">
        <x:f>IF(OR(E710="GRID",E710="FINISHED",E710="PIT"),0,MAX(Control!$B$15,(INDEX(Drivers!$D$8:$D$13,B710)+INDEX(Drivers!$E$8:$E$13,B710)*SIN((A710+INDEX(Drivers!$F$8:$F$13,B710)+Control!$B$16)*Control!$B$14))*INDEX(TrackMap!$M$8:$M$141,MOD(INT(D710)-1,Control!$B$7)+1)*IF(E710="BOOST",Control!$B$12,1)))</x:f>
        <x:v>3.113824753083313</x:v>
      </x:c>
      <x:c r="G710" s="83" t="n">
        <x:f>IF(A710=0,D710,MIN(Control!$B$17,D710+F710))</x:f>
        <x:v>398.16400333951526</x:v>
      </x:c>
      <x:c r="H710" s="73" t="n">
        <x:f>MOD(INT(G710)-1,Control!$B$7)+1</x:f>
        <x:v>130</x:v>
      </x:c>
      <x:c r="I710" s="73" t="n">
        <x:f>MIN(Control!$B$6,MAX(1,INT(MAX(0,G710)/Control!$B$7)+1))</x:f>
        <x:v>3</x:v>
      </x:c>
      <x:c r="J710" s="73" t="n">
        <x:f>INDEX(Drivers!$H$8:$H$13,B710)</x:f>
        <x:v>1</x:v>
      </x:c>
      <x:c r="K710" s="73" t="n">
        <x:f>IF(J710=1,INDEX(TrackMap!$I$8:$I$141,H710),INDEX(TrackMap!$L$8:$L$141,H710))</x:f>
        <x:v>3121</x:v>
      </x:c>
      <x:c r="L710" s="73" t="str">
        <x:f>INDEX(TrackMap!$F$8:$F$141,H710)</x:f>
        <x:v>←</x:v>
      </x:c>
      <x:c r="M710" s="87" t="n">
        <x:f>MAX(0,G710/Control!$B$17)</x:f>
        <x:v>0.5942746318500228</x:v>
      </x:c>
      <x:c r="N710" s="73" t="n">
        <x:f>IF(N704&gt;0,N704,IF(G710&gt;=Control!$B$17,A710,0))</x:f>
        <x:v>0</x:v>
      </x:c>
      <x:c r="O710" s="91" t="n">
        <x:f>IF(N710&gt;0,Control!$B$17+Control!$B$8+1-N710,G710)-B710/100000</x:f>
        <x:v>398.1639933395153</x:v>
      </x:c>
      <x:c r="P710" s="73" t="n">
        <x:f>COUNTIF($O$710:$O$715,"&gt;"&amp;O710)+1</x:f>
        <x:v>4</x:v>
      </x:c>
      <x:c r="Q710" s="83" t="n">
        <x:f>MAX($G$710:$G$715)-G710</x:f>
        <x:v>17.58960344217843</x:v>
      </x:c>
      <x:c r="R710" s="73" t="str">
        <x:f>INDEX(TrackMap!$B$8:$B$141,H710)</x:f>
        <x:v>发车大直道</x:v>
      </x:c>
    </x:row>
    <x:row r="711" ht="20" customHeight="1">
      <x:c r="A711" s="73" t="n">
        <x:v>117</x:v>
      </x:c>
      <x:c r="B711" s="73" t="n">
        <x:v>2</x:v>
      </x:c>
      <x:c r="C711" s="73" t="str">
        <x:f>INDEX(Drivers!$B$8:$B$13,B711)</x:f>
        <x:v>蓝电</x:v>
      </x:c>
      <x:c r="D711" s="83" t="n">
        <x:f>G705</x:f>
        <x:v>388.48289750270817</x:v>
      </x:c>
      <x:c r="E711" s="83" t="str">
        <x:f>IF(A711=0,"GRID",IF(D711&gt;=Control!$B$17,"FINISHED",IF(AND(A711&gt;=INDEX(Drivers!$G$8:$G$13,B711),A711&lt;INDEX(Drivers!$G$8:$G$13,B711)+INDEX(Drivers!$J$8:$J$13,B711)),"PIT",IF(MOD(A711+INDEX(Drivers!$F$8:$F$13,B711),Control!$B$11)&lt;Control!$B$13,"BOOST","RACE"))))</x:f>
        <x:v>PIT</x:v>
      </x:c>
      <x:c r="F711" s="83" t="n">
        <x:f>IF(OR(E711="GRID",E711="FINISHED",E711="PIT"),0,MAX(Control!$B$15,(INDEX(Drivers!$D$8:$D$13,B711)+INDEX(Drivers!$E$8:$E$13,B711)*SIN((A711+INDEX(Drivers!$F$8:$F$13,B711)+Control!$B$16)*Control!$B$14))*INDEX(TrackMap!$M$8:$M$141,MOD(INT(D711)-1,Control!$B$7)+1)*IF(E711="BOOST",Control!$B$12,1)))</x:f>
        <x:v>0</x:v>
      </x:c>
      <x:c r="G711" s="83" t="n">
        <x:f>IF(A711=0,D711,MIN(Control!$B$17,D711+F711))</x:f>
        <x:v>388.48289750270817</x:v>
      </x:c>
      <x:c r="H711" s="73" t="n">
        <x:f>MOD(INT(G711)-1,Control!$B$7)+1</x:f>
        <x:v>120</x:v>
      </x:c>
      <x:c r="I711" s="73" t="n">
        <x:f>MIN(Control!$B$6,MAX(1,INT(MAX(0,G711)/Control!$B$7)+1))</x:f>
        <x:v>3</x:v>
      </x:c>
      <x:c r="J711" s="73" t="n">
        <x:f>INDEX(Drivers!$H$8:$H$13,B711)</x:f>
        <x:v>2</x:v>
      </x:c>
      <x:c r="K711" s="73" t="n">
        <x:f>IF(J711=1,INDEX(TrackMap!$I$8:$I$141,H711),INDEX(TrackMap!$L$8:$L$141,H711))</x:f>
        <x:v>3031</x:v>
      </x:c>
      <x:c r="L711" s="73" t="str">
        <x:f>INDEX(TrackMap!$F$8:$F$141,H711)</x:f>
        <x:v>←</x:v>
      </x:c>
      <x:c r="M711" s="87" t="n">
        <x:f>MAX(0,G711/Control!$B$17)</x:f>
        <x:v>0.5798252201532957</x:v>
      </x:c>
      <x:c r="N711" s="73" t="n">
        <x:f>IF(N705&gt;0,N705,IF(G711&gt;=Control!$B$17,A711,0))</x:f>
        <x:v>0</x:v>
      </x:c>
      <x:c r="O711" s="91" t="n">
        <x:f>IF(N711&gt;0,Control!$B$17+Control!$B$8+1-N711,G711)-B711/100000</x:f>
        <x:v>388.48287750270816</x:v>
      </x:c>
      <x:c r="P711" s="73" t="n">
        <x:f>COUNTIF($O$710:$O$715,"&gt;"&amp;O711)+1</x:f>
        <x:v>5</x:v>
      </x:c>
      <x:c r="Q711" s="83" t="n">
        <x:f>MAX($G$710:$G$715)-G711</x:f>
        <x:v>27.27070927898552</x:v>
      </x:c>
      <x:c r="R711" s="73" t="str">
        <x:f>INDEX(TrackMap!$B$8:$B$141,H711)</x:f>
        <x:v>发车大直道</x:v>
      </x:c>
    </x:row>
    <x:row r="712" ht="20" customHeight="1">
      <x:c r="A712" s="73" t="n">
        <x:v>117</x:v>
      </x:c>
      <x:c r="B712" s="73" t="n">
        <x:v>3</x:v>
      </x:c>
      <x:c r="C712" s="73" t="str">
        <x:f>INDEX(Drivers!$B$8:$B$13,B712)</x:f>
        <x:v>金翼</x:v>
      </x:c>
      <x:c r="D712" s="83" t="n">
        <x:f>G706</x:f>
        <x:v>412.17387811236324</x:v>
      </x:c>
      <x:c r="E712" s="83" t="str">
        <x:f>IF(A712=0,"GRID",IF(D712&gt;=Control!$B$17,"FINISHED",IF(AND(A712&gt;=INDEX(Drivers!$G$8:$G$13,B712),A712&lt;INDEX(Drivers!$G$8:$G$13,B712)+INDEX(Drivers!$J$8:$J$13,B712)),"PIT",IF(MOD(A712+INDEX(Drivers!$F$8:$F$13,B712),Control!$B$11)&lt;Control!$B$13,"BOOST","RACE"))))</x:f>
        <x:v>RACE</x:v>
      </x:c>
      <x:c r="F712" s="83" t="n">
        <x:f>IF(OR(E712="GRID",E712="FINISHED",E712="PIT"),0,MAX(Control!$B$15,(INDEX(Drivers!$D$8:$D$13,B712)+INDEX(Drivers!$E$8:$E$13,B712)*SIN((A712+INDEX(Drivers!$F$8:$F$13,B712)+Control!$B$16)*Control!$B$14))*INDEX(TrackMap!$M$8:$M$141,MOD(INT(D712)-1,Control!$B$7)+1)*IF(E712="BOOST",Control!$B$12,1)))</x:f>
        <x:v>3.5797286693304367</x:v>
      </x:c>
      <x:c r="G712" s="83" t="n">
        <x:f>IF(A712=0,D712,MIN(Control!$B$17,D712+F712))</x:f>
        <x:v>415.7536067816937</x:v>
      </x:c>
      <x:c r="H712" s="73" t="n">
        <x:f>MOD(INT(G712)-1,Control!$B$7)+1</x:f>
        <x:v>13</x:v>
      </x:c>
      <x:c r="I712" s="73" t="n">
        <x:f>MIN(Control!$B$6,MAX(1,INT(MAX(0,G712)/Control!$B$7)+1))</x:f>
        <x:v>4</x:v>
      </x:c>
      <x:c r="J712" s="73" t="n">
        <x:f>INDEX(Drivers!$H$8:$H$13,B712)</x:f>
        <x:v>1</x:v>
      </x:c>
      <x:c r="K712" s="73" t="n">
        <x:f>IF(J712=1,INDEX(TrackMap!$I$8:$I$141,H712),INDEX(TrackMap!$L$8:$L$141,H712))</x:f>
        <x:v>2903</x:v>
      </x:c>
      <x:c r="L712" s="73" t="str">
        <x:f>INDEX(TrackMap!$F$8:$F$141,H712)</x:f>
        <x:v>↑</x:v>
      </x:c>
      <x:c r="M712" s="87" t="n">
        <x:f>MAX(0,G712/Control!$B$17)</x:f>
        <x:v>0.6205277713159607</x:v>
      </x:c>
      <x:c r="N712" s="73" t="n">
        <x:f>IF(N706&gt;0,N706,IF(G712&gt;=Control!$B$17,A712,0))</x:f>
        <x:v>0</x:v>
      </x:c>
      <x:c r="O712" s="91" t="n">
        <x:f>IF(N712&gt;0,Control!$B$17+Control!$B$8+1-N712,G712)-B712/100000</x:f>
        <x:v>415.7535767816937</x:v>
      </x:c>
      <x:c r="P712" s="73" t="n">
        <x:f>COUNTIF($O$710:$O$715,"&gt;"&amp;O712)+1</x:f>
        <x:v>1</x:v>
      </x:c>
      <x:c r="Q712" s="83" t="n">
        <x:f>MAX($G$710:$G$715)-G712</x:f>
        <x:v>0</x:v>
      </x:c>
      <x:c r="R712" s="73" t="str">
        <x:f>INDEX(TrackMap!$B$8:$B$141,H712)</x:f>
        <x:v>西侧回弯</x:v>
      </x:c>
    </x:row>
    <x:row r="713" ht="20" customHeight="1">
      <x:c r="A713" s="73" t="n">
        <x:v>117</x:v>
      </x:c>
      <x:c r="B713" s="73" t="n">
        <x:v>4</x:v>
      </x:c>
      <x:c r="C713" s="73" t="str">
        <x:f>INDEX(Drivers!$B$8:$B$13,B713)</x:f>
        <x:v>紫影</x:v>
      </x:c>
      <x:c r="D713" s="83" t="n">
        <x:f>G707</x:f>
        <x:v>384.6727686597278</x:v>
      </x:c>
      <x:c r="E713" s="83" t="str">
        <x:f>IF(A713=0,"GRID",IF(D713&gt;=Control!$B$17,"FINISHED",IF(AND(A713&gt;=INDEX(Drivers!$G$8:$G$13,B713),A713&lt;INDEX(Drivers!$G$8:$G$13,B713)+INDEX(Drivers!$J$8:$J$13,B713)),"PIT",IF(MOD(A713+INDEX(Drivers!$F$8:$F$13,B713),Control!$B$11)&lt;Control!$B$13,"BOOST","RACE"))))</x:f>
        <x:v>RACE</x:v>
      </x:c>
      <x:c r="F713" s="83" t="n">
        <x:f>IF(OR(E713="GRID",E713="FINISHED",E713="PIT"),0,MAX(Control!$B$15,(INDEX(Drivers!$D$8:$D$13,B713)+INDEX(Drivers!$E$8:$E$13,B713)*SIN((A713+INDEX(Drivers!$F$8:$F$13,B713)+Control!$B$16)*Control!$B$14))*INDEX(TrackMap!$M$8:$M$141,MOD(INT(D713)-1,Control!$B$7)+1)*IF(E713="BOOST",Control!$B$12,1)))</x:f>
        <x:v>3.423802012498634</x:v>
      </x:c>
      <x:c r="G713" s="83" t="n">
        <x:f>IF(A713=0,D713,MIN(Control!$B$17,D713+F713))</x:f>
        <x:v>388.09657067222645</x:v>
      </x:c>
      <x:c r="H713" s="73" t="n">
        <x:f>MOD(INT(G713)-1,Control!$B$7)+1</x:f>
        <x:v>120</x:v>
      </x:c>
      <x:c r="I713" s="73" t="n">
        <x:f>MIN(Control!$B$6,MAX(1,INT(MAX(0,G713)/Control!$B$7)+1))</x:f>
        <x:v>3</x:v>
      </x:c>
      <x:c r="J713" s="73" t="n">
        <x:f>INDEX(Drivers!$H$8:$H$13,B713)</x:f>
        <x:v>2</x:v>
      </x:c>
      <x:c r="K713" s="73" t="n">
        <x:f>IF(J713=1,INDEX(TrackMap!$I$8:$I$141,H713),INDEX(TrackMap!$L$8:$L$141,H713))</x:f>
        <x:v>3031</x:v>
      </x:c>
      <x:c r="L713" s="73" t="str">
        <x:f>INDEX(TrackMap!$F$8:$F$141,H713)</x:f>
        <x:v>←</x:v>
      </x:c>
      <x:c r="M713" s="87" t="n">
        <x:f>MAX(0,G713/Control!$B$17)</x:f>
        <x:v>0.5792486129436215</x:v>
      </x:c>
      <x:c r="N713" s="73" t="n">
        <x:f>IF(N707&gt;0,N707,IF(G713&gt;=Control!$B$17,A713,0))</x:f>
        <x:v>0</x:v>
      </x:c>
      <x:c r="O713" s="91" t="n">
        <x:f>IF(N713&gt;0,Control!$B$17+Control!$B$8+1-N713,G713)-B713/100000</x:f>
        <x:v>388.09653067222644</x:v>
      </x:c>
      <x:c r="P713" s="73" t="n">
        <x:f>COUNTIF($O$710:$O$715,"&gt;"&amp;O713)+1</x:f>
        <x:v>6</x:v>
      </x:c>
      <x:c r="Q713" s="83" t="n">
        <x:f>MAX($G$710:$G$715)-G713</x:f>
        <x:v>27.657036109467242</x:v>
      </x:c>
      <x:c r="R713" s="73" t="str">
        <x:f>INDEX(TrackMap!$B$8:$B$141,H713)</x:f>
        <x:v>发车大直道</x:v>
      </x:c>
    </x:row>
    <x:row r="714" ht="20" customHeight="1">
      <x:c r="A714" s="73" t="n">
        <x:v>117</x:v>
      </x:c>
      <x:c r="B714" s="73" t="n">
        <x:v>5</x:v>
      </x:c>
      <x:c r="C714" s="73" t="str">
        <x:f>INDEX(Drivers!$B$8:$B$13,B714)</x:f>
        <x:v>青锋</x:v>
      </x:c>
      <x:c r="D714" s="83" t="n">
        <x:f>G708</x:f>
        <x:v>398.5514765034342</x:v>
      </x:c>
      <x:c r="E714" s="83" t="str">
        <x:f>IF(A714=0,"GRID",IF(D714&gt;=Control!$B$17,"FINISHED",IF(AND(A714&gt;=INDEX(Drivers!$G$8:$G$13,B714),A714&lt;INDEX(Drivers!$G$8:$G$13,B714)+INDEX(Drivers!$J$8:$J$13,B714)),"PIT",IF(MOD(A714+INDEX(Drivers!$F$8:$F$13,B714),Control!$B$11)&lt;Control!$B$13,"BOOST","RACE"))))</x:f>
        <x:v>BOOST</x:v>
      </x:c>
      <x:c r="F714" s="83" t="n">
        <x:f>IF(OR(E714="GRID",E714="FINISHED",E714="PIT"),0,MAX(Control!$B$15,(INDEX(Drivers!$D$8:$D$13,B714)+INDEX(Drivers!$E$8:$E$13,B714)*SIN((A714+INDEX(Drivers!$F$8:$F$13,B714)+Control!$B$16)*Control!$B$14))*INDEX(TrackMap!$M$8:$M$141,MOD(INT(D714)-1,Control!$B$7)+1)*IF(E714="BOOST",Control!$B$12,1)))</x:f>
        <x:v>4.682686841936683</x:v>
      </x:c>
      <x:c r="G714" s="83" t="n">
        <x:f>IF(A714=0,D714,MIN(Control!$B$17,D714+F714))</x:f>
        <x:v>403.23416334537086</x:v>
      </x:c>
      <x:c r="H714" s="73" t="n">
        <x:f>MOD(INT(G714)-1,Control!$B$7)+1</x:f>
        <x:v>1</x:v>
      </x:c>
      <x:c r="I714" s="73" t="n">
        <x:f>MIN(Control!$B$6,MAX(1,INT(MAX(0,G714)/Control!$B$7)+1))</x:f>
        <x:v>4</x:v>
      </x:c>
      <x:c r="J714" s="73" t="n">
        <x:f>INDEX(Drivers!$H$8:$H$13,B714)</x:f>
        <x:v>1</x:v>
      </x:c>
      <x:c r="K714" s="73" t="n">
        <x:f>IF(J714=1,INDEX(TrackMap!$I$8:$I$141,H714),INDEX(TrackMap!$L$8:$L$141,H714))</x:f>
        <x:v>3116</x:v>
      </x:c>
      <x:c r="L714" s="73" t="str">
        <x:f>INDEX(TrackMap!$F$8:$F$141,H714)</x:f>
        <x:v>←</x:v>
      </x:c>
      <x:c r="M714" s="87" t="n">
        <x:f>MAX(0,G714/Control!$B$17)</x:f>
        <x:v>0.6018420348438371</x:v>
      </x:c>
      <x:c r="N714" s="73" t="n">
        <x:f>IF(N708&gt;0,N708,IF(G714&gt;=Control!$B$17,A714,0))</x:f>
        <x:v>0</x:v>
      </x:c>
      <x:c r="O714" s="91" t="n">
        <x:f>IF(N714&gt;0,Control!$B$17+Control!$B$8+1-N714,G714)-B714/100000</x:f>
        <x:v>403.2341133453709</x:v>
      </x:c>
      <x:c r="P714" s="73" t="n">
        <x:f>COUNTIF($O$710:$O$715,"&gt;"&amp;O714)+1</x:f>
        <x:v>3</x:v>
      </x:c>
      <x:c r="Q714" s="83" t="n">
        <x:f>MAX($G$710:$G$715)-G714</x:f>
        <x:v>12.519443436322831</x:v>
      </x:c>
      <x:c r="R714" s="73" t="str">
        <x:f>INDEX(TrackMap!$B$8:$B$141,H714)</x:f>
        <x:v>发车大直道</x:v>
      </x:c>
    </x:row>
    <x:row r="715" ht="20" customHeight="1">
      <x:c r="A715" s="73" t="n">
        <x:v>117</x:v>
      </x:c>
      <x:c r="B715" s="73" t="n">
        <x:v>6</x:v>
      </x:c>
      <x:c r="C715" s="73" t="str">
        <x:f>INDEX(Drivers!$B$8:$B$13,B715)</x:f>
        <x:v>玫速</x:v>
      </x:c>
      <x:c r="D715" s="83" t="n">
        <x:f>G709</x:f>
        <x:v>406.43297522692507</x:v>
      </x:c>
      <x:c r="E715" s="83" t="str">
        <x:f>IF(A715=0,"GRID",IF(D715&gt;=Control!$B$17,"FINISHED",IF(AND(A715&gt;=INDEX(Drivers!$G$8:$G$13,B715),A715&lt;INDEX(Drivers!$G$8:$G$13,B715)+INDEX(Drivers!$J$8:$J$13,B715)),"PIT",IF(MOD(A715+INDEX(Drivers!$F$8:$F$13,B715),Control!$B$11)&lt;Control!$B$13,"BOOST","RACE"))))</x:f>
        <x:v>RACE</x:v>
      </x:c>
      <x:c r="F715" s="83" t="n">
        <x:f>IF(OR(E715="GRID",E715="FINISHED",E715="PIT"),0,MAX(Control!$B$15,(INDEX(Drivers!$D$8:$D$13,B715)+INDEX(Drivers!$E$8:$E$13,B715)*SIN((A715+INDEX(Drivers!$F$8:$F$13,B715)+Control!$B$16)*Control!$B$14))*INDEX(TrackMap!$M$8:$M$141,MOD(INT(D715)-1,Control!$B$7)+1)*IF(E715="BOOST",Control!$B$12,1)))</x:f>
        <x:v>4.1374637745508975</x:v>
      </x:c>
      <x:c r="G715" s="83" t="n">
        <x:f>IF(A715=0,D715,MIN(Control!$B$17,D715+F715))</x:f>
        <x:v>410.57043900147596</x:v>
      </x:c>
      <x:c r="H715" s="73" t="n">
        <x:f>MOD(INT(G715)-1,Control!$B$7)+1</x:f>
        <x:v>8</x:v>
      </x:c>
      <x:c r="I715" s="73" t="n">
        <x:f>MIN(Control!$B$6,MAX(1,INT(MAX(0,G715)/Control!$B$7)+1))</x:f>
        <x:v>4</x:v>
      </x:c>
      <x:c r="J715" s="73" t="n">
        <x:f>INDEX(Drivers!$H$8:$H$13,B715)</x:f>
        <x:v>2</x:v>
      </x:c>
      <x:c r="K715" s="73" t="n">
        <x:f>IF(J715=1,INDEX(TrackMap!$I$8:$I$141,H715),INDEX(TrackMap!$L$8:$L$141,H715))</x:f>
        <x:v>3009</x:v>
      </x:c>
      <x:c r="L715" s="73" t="str">
        <x:f>INDEX(TrackMap!$F$8:$F$141,H715)</x:f>
        <x:v>←</x:v>
      </x:c>
      <x:c r="M715" s="87" t="n">
        <x:f>MAX(0,G715/Control!$B$17)</x:f>
        <x:v>0.612791700002203</x:v>
      </x:c>
      <x:c r="N715" s="73" t="n">
        <x:f>IF(N709&gt;0,N709,IF(G715&gt;=Control!$B$17,A715,0))</x:f>
        <x:v>0</x:v>
      </x:c>
      <x:c r="O715" s="91" t="n">
        <x:f>IF(N715&gt;0,Control!$B$17+Control!$B$8+1-N715,G715)-B715/100000</x:f>
        <x:v>410.57037900147594</x:v>
      </x:c>
      <x:c r="P715" s="73" t="n">
        <x:f>COUNTIF($O$710:$O$715,"&gt;"&amp;O715)+1</x:f>
        <x:v>2</x:v>
      </x:c>
      <x:c r="Q715" s="83" t="n">
        <x:f>MAX($G$710:$G$715)-G715</x:f>
        <x:v>5.18316778021773</x:v>
      </x:c>
      <x:c r="R715" s="73" t="str">
        <x:f>INDEX(TrackMap!$B$8:$B$141,H715)</x:f>
        <x:v>发车大直道</x:v>
      </x:c>
    </x:row>
    <x:row r="716" ht="20" customHeight="1">
      <x:c r="A716" s="73" t="n">
        <x:v>118</x:v>
      </x:c>
      <x:c r="B716" s="73" t="n">
        <x:v>1</x:v>
      </x:c>
      <x:c r="C716" s="73" t="str">
        <x:f>INDEX(Drivers!$B$8:$B$13,B716)</x:f>
        <x:v>赤焰</x:v>
      </x:c>
      <x:c r="D716" s="83" t="n">
        <x:f>G710</x:f>
        <x:v>398.16400333951526</x:v>
      </x:c>
      <x:c r="E716" s="83" t="str">
        <x:f>IF(A716=0,"GRID",IF(D716&gt;=Control!$B$17,"FINISHED",IF(AND(A716&gt;=INDEX(Drivers!$G$8:$G$13,B716),A716&lt;INDEX(Drivers!$G$8:$G$13,B716)+INDEX(Drivers!$J$8:$J$13,B716)),"PIT",IF(MOD(A716+INDEX(Drivers!$F$8:$F$13,B716),Control!$B$11)&lt;Control!$B$13,"BOOST","RACE"))))</x:f>
        <x:v>RACE</x:v>
      </x:c>
      <x:c r="F716" s="83" t="n">
        <x:f>IF(OR(E716="GRID",E716="FINISHED",E716="PIT"),0,MAX(Control!$B$15,(INDEX(Drivers!$D$8:$D$13,B716)+INDEX(Drivers!$E$8:$E$13,B716)*SIN((A716+INDEX(Drivers!$F$8:$F$13,B716)+Control!$B$16)*Control!$B$14))*INDEX(TrackMap!$M$8:$M$141,MOD(INT(D716)-1,Control!$B$7)+1)*IF(E716="BOOST",Control!$B$12,1)))</x:f>
        <x:v>3.1057967220372147</x:v>
      </x:c>
      <x:c r="G716" s="83" t="n">
        <x:f>IF(A716=0,D716,MIN(Control!$B$17,D716+F716))</x:f>
        <x:v>401.2698000615525</x:v>
      </x:c>
      <x:c r="H716" s="73" t="n">
        <x:f>MOD(INT(G716)-1,Control!$B$7)+1</x:f>
        <x:v>133</x:v>
      </x:c>
      <x:c r="I716" s="73" t="n">
        <x:f>MIN(Control!$B$6,MAX(1,INT(MAX(0,G716)/Control!$B$7)+1))</x:f>
        <x:v>3</x:v>
      </x:c>
      <x:c r="J716" s="73" t="n">
        <x:f>INDEX(Drivers!$H$8:$H$13,B716)</x:f>
        <x:v>1</x:v>
      </x:c>
      <x:c r="K716" s="73" t="n">
        <x:f>IF(J716=1,INDEX(TrackMap!$I$8:$I$141,H716),INDEX(TrackMap!$L$8:$L$141,H716))</x:f>
        <x:v>3118</x:v>
      </x:c>
      <x:c r="L716" s="73" t="str">
        <x:f>INDEX(TrackMap!$F$8:$F$141,H716)</x:f>
        <x:v>←</x:v>
      </x:c>
      <x:c r="M716" s="87" t="n">
        <x:f>MAX(0,G716/Control!$B$17)</x:f>
        <x:v>0.5989101493456007</x:v>
      </x:c>
      <x:c r="N716" s="73" t="n">
        <x:f>IF(N710&gt;0,N710,IF(G716&gt;=Control!$B$17,A716,0))</x:f>
        <x:v>0</x:v>
      </x:c>
      <x:c r="O716" s="91" t="n">
        <x:f>IF(N716&gt;0,Control!$B$17+Control!$B$8+1-N716,G716)-B716/100000</x:f>
        <x:v>401.2697900615525</x:v>
      </x:c>
      <x:c r="P716" s="73" t="n">
        <x:f>COUNTIF($O$716:$O$721,"&gt;"&amp;O716)+1</x:f>
        <x:v>4</x:v>
      </x:c>
      <x:c r="Q716" s="83" t="n">
        <x:f>MAX($G$716:$G$721)-G716</x:f>
        <x:v>17.145454389718225</x:v>
      </x:c>
      <x:c r="R716" s="73" t="str">
        <x:f>INDEX(TrackMap!$B$8:$B$141,H716)</x:f>
        <x:v>发车大直道</x:v>
      </x:c>
    </x:row>
    <x:row r="717" ht="20" customHeight="1">
      <x:c r="A717" s="73" t="n">
        <x:v>118</x:v>
      </x:c>
      <x:c r="B717" s="73" t="n">
        <x:v>2</x:v>
      </x:c>
      <x:c r="C717" s="73" t="str">
        <x:f>INDEX(Drivers!$B$8:$B$13,B717)</x:f>
        <x:v>蓝电</x:v>
      </x:c>
      <x:c r="D717" s="83" t="n">
        <x:f>G711</x:f>
        <x:v>388.48289750270817</x:v>
      </x:c>
      <x:c r="E717" s="83" t="str">
        <x:f>IF(A717=0,"GRID",IF(D717&gt;=Control!$B$17,"FINISHED",IF(AND(A717&gt;=INDEX(Drivers!$G$8:$G$13,B717),A717&lt;INDEX(Drivers!$G$8:$G$13,B717)+INDEX(Drivers!$J$8:$J$13,B717)),"PIT",IF(MOD(A717+INDEX(Drivers!$F$8:$F$13,B717),Control!$B$11)&lt;Control!$B$13,"BOOST","RACE"))))</x:f>
        <x:v>PIT</x:v>
      </x:c>
      <x:c r="F717" s="83" t="n">
        <x:f>IF(OR(E717="GRID",E717="FINISHED",E717="PIT"),0,MAX(Control!$B$15,(INDEX(Drivers!$D$8:$D$13,B717)+INDEX(Drivers!$E$8:$E$13,B717)*SIN((A717+INDEX(Drivers!$F$8:$F$13,B717)+Control!$B$16)*Control!$B$14))*INDEX(TrackMap!$M$8:$M$141,MOD(INT(D717)-1,Control!$B$7)+1)*IF(E717="BOOST",Control!$B$12,1)))</x:f>
        <x:v>0</x:v>
      </x:c>
      <x:c r="G717" s="83" t="n">
        <x:f>IF(A717=0,D717,MIN(Control!$B$17,D717+F717))</x:f>
        <x:v>388.48289750270817</x:v>
      </x:c>
      <x:c r="H717" s="73" t="n">
        <x:f>MOD(INT(G717)-1,Control!$B$7)+1</x:f>
        <x:v>120</x:v>
      </x:c>
      <x:c r="I717" s="73" t="n">
        <x:f>MIN(Control!$B$6,MAX(1,INT(MAX(0,G717)/Control!$B$7)+1))</x:f>
        <x:v>3</x:v>
      </x:c>
      <x:c r="J717" s="73" t="n">
        <x:f>INDEX(Drivers!$H$8:$H$13,B717)</x:f>
        <x:v>2</x:v>
      </x:c>
      <x:c r="K717" s="73" t="n">
        <x:f>IF(J717=1,INDEX(TrackMap!$I$8:$I$141,H717),INDEX(TrackMap!$L$8:$L$141,H717))</x:f>
        <x:v>3031</x:v>
      </x:c>
      <x:c r="L717" s="73" t="str">
        <x:f>INDEX(TrackMap!$F$8:$F$141,H717)</x:f>
        <x:v>←</x:v>
      </x:c>
      <x:c r="M717" s="87" t="n">
        <x:f>MAX(0,G717/Control!$B$17)</x:f>
        <x:v>0.5798252201532957</x:v>
      </x:c>
      <x:c r="N717" s="73" t="n">
        <x:f>IF(N711&gt;0,N711,IF(G717&gt;=Control!$B$17,A717,0))</x:f>
        <x:v>0</x:v>
      </x:c>
      <x:c r="O717" s="91" t="n">
        <x:f>IF(N717&gt;0,Control!$B$17+Control!$B$8+1-N717,G717)-B717/100000</x:f>
        <x:v>388.48287750270816</x:v>
      </x:c>
      <x:c r="P717" s="73" t="n">
        <x:f>COUNTIF($O$716:$O$721,"&gt;"&amp;O717)+1</x:f>
        <x:v>6</x:v>
      </x:c>
      <x:c r="Q717" s="83" t="n">
        <x:f>MAX($G$716:$G$721)-G717</x:f>
        <x:v>29.93235694856253</x:v>
      </x:c>
      <x:c r="R717" s="73" t="str">
        <x:f>INDEX(TrackMap!$B$8:$B$141,H717)</x:f>
        <x:v>发车大直道</x:v>
      </x:c>
    </x:row>
    <x:row r="718" ht="20" customHeight="1">
      <x:c r="A718" s="73" t="n">
        <x:v>118</x:v>
      </x:c>
      <x:c r="B718" s="73" t="n">
        <x:v>3</x:v>
      </x:c>
      <x:c r="C718" s="73" t="str">
        <x:f>INDEX(Drivers!$B$8:$B$13,B718)</x:f>
        <x:v>金翼</x:v>
      </x:c>
      <x:c r="D718" s="83" t="n">
        <x:f>G712</x:f>
        <x:v>415.7536067816937</x:v>
      </x:c>
      <x:c r="E718" s="83" t="str">
        <x:f>IF(A718=0,"GRID",IF(D718&gt;=Control!$B$17,"FINISHED",IF(AND(A718&gt;=INDEX(Drivers!$G$8:$G$13,B718),A718&lt;INDEX(Drivers!$G$8:$G$13,B718)+INDEX(Drivers!$J$8:$J$13,B718)),"PIT",IF(MOD(A718+INDEX(Drivers!$F$8:$F$13,B718),Control!$B$11)&lt;Control!$B$13,"BOOST","RACE"))))</x:f>
        <x:v>RACE</x:v>
      </x:c>
      <x:c r="F718" s="83" t="n">
        <x:f>IF(OR(E718="GRID",E718="FINISHED",E718="PIT"),0,MAX(Control!$B$15,(INDEX(Drivers!$D$8:$D$13,B718)+INDEX(Drivers!$E$8:$E$13,B718)*SIN((A718+INDEX(Drivers!$F$8:$F$13,B718)+Control!$B$16)*Control!$B$14))*INDEX(TrackMap!$M$8:$M$141,MOD(INT(D718)-1,Control!$B$7)+1)*IF(E718="BOOST",Control!$B$12,1)))</x:f>
        <x:v>2.6616476695770053</x:v>
      </x:c>
      <x:c r="G718" s="83" t="n">
        <x:f>IF(A718=0,D718,MIN(Control!$B$17,D718+F718))</x:f>
        <x:v>418.4152544512707</x:v>
      </x:c>
      <x:c r="H718" s="73" t="n">
        <x:f>MOD(INT(G718)-1,Control!$B$7)+1</x:f>
        <x:v>16</x:v>
      </x:c>
      <x:c r="I718" s="73" t="n">
        <x:f>MIN(Control!$B$6,MAX(1,INT(MAX(0,G718)/Control!$B$7)+1))</x:f>
        <x:v>4</x:v>
      </x:c>
      <x:c r="J718" s="73" t="n">
        <x:f>INDEX(Drivers!$H$8:$H$13,B718)</x:f>
        <x:v>1</x:v>
      </x:c>
      <x:c r="K718" s="73" t="n">
        <x:f>IF(J718=1,INDEX(TrackMap!$I$8:$I$141,H718),INDEX(TrackMap!$L$8:$L$141,H718))</x:f>
        <x:v>2603</x:v>
      </x:c>
      <x:c r="L718" s="73" t="str">
        <x:f>INDEX(TrackMap!$F$8:$F$141,H718)</x:f>
        <x:v>↑</x:v>
      </x:c>
      <x:c r="M718" s="87" t="n">
        <x:f>MAX(0,G718/Control!$B$17)</x:f>
        <x:v>0.624500379778016</x:v>
      </x:c>
      <x:c r="N718" s="73" t="n">
        <x:f>IF(N712&gt;0,N712,IF(G718&gt;=Control!$B$17,A718,0))</x:f>
        <x:v>0</x:v>
      </x:c>
      <x:c r="O718" s="91" t="n">
        <x:f>IF(N718&gt;0,Control!$B$17+Control!$B$8+1-N718,G718)-B718/100000</x:f>
        <x:v>418.4152244512707</x:v>
      </x:c>
      <x:c r="P718" s="73" t="n">
        <x:f>COUNTIF($O$716:$O$721,"&gt;"&amp;O718)+1</x:f>
        <x:v>1</x:v>
      </x:c>
      <x:c r="Q718" s="83" t="n">
        <x:f>MAX($G$716:$G$721)-G718</x:f>
        <x:v>0</x:v>
      </x:c>
      <x:c r="R718" s="73" t="str">
        <x:f>INDEX(TrackMap!$B$8:$B$141,H718)</x:f>
        <x:v>西侧回弯</x:v>
      </x:c>
    </x:row>
    <x:row r="719" ht="20" customHeight="1">
      <x:c r="A719" s="73" t="n">
        <x:v>118</x:v>
      </x:c>
      <x:c r="B719" s="73" t="n">
        <x:v>4</x:v>
      </x:c>
      <x:c r="C719" s="73" t="str">
        <x:f>INDEX(Drivers!$B$8:$B$13,B719)</x:f>
        <x:v>紫影</x:v>
      </x:c>
      <x:c r="D719" s="83" t="n">
        <x:f>G713</x:f>
        <x:v>388.09657067222645</x:v>
      </x:c>
      <x:c r="E719" s="83" t="str">
        <x:f>IF(A719=0,"GRID",IF(D719&gt;=Control!$B$17,"FINISHED",IF(AND(A719&gt;=INDEX(Drivers!$G$8:$G$13,B719),A719&lt;INDEX(Drivers!$G$8:$G$13,B719)+INDEX(Drivers!$J$8:$J$13,B719)),"PIT",IF(MOD(A719+INDEX(Drivers!$F$8:$F$13,B719),Control!$B$11)&lt;Control!$B$13,"BOOST","RACE"))))</x:f>
        <x:v>RACE</x:v>
      </x:c>
      <x:c r="F719" s="83" t="n">
        <x:f>IF(OR(E719="GRID",E719="FINISHED",E719="PIT"),0,MAX(Control!$B$15,(INDEX(Drivers!$D$8:$D$13,B719)+INDEX(Drivers!$E$8:$E$13,B719)*SIN((A719+INDEX(Drivers!$F$8:$F$13,B719)+Control!$B$16)*Control!$B$14))*INDEX(TrackMap!$M$8:$M$141,MOD(INT(D719)-1,Control!$B$7)+1)*IF(E719="BOOST",Control!$B$12,1)))</x:f>
        <x:v>3.635550398752064</x:v>
      </x:c>
      <x:c r="G719" s="83" t="n">
        <x:f>IF(A719=0,D719,MIN(Control!$B$17,D719+F719))</x:f>
        <x:v>391.7321210709785</x:v>
      </x:c>
      <x:c r="H719" s="73" t="n">
        <x:f>MOD(INT(G719)-1,Control!$B$7)+1</x:f>
        <x:v>123</x:v>
      </x:c>
      <x:c r="I719" s="73" t="n">
        <x:f>MIN(Control!$B$6,MAX(1,INT(MAX(0,G719)/Control!$B$7)+1))</x:f>
        <x:v>3</x:v>
      </x:c>
      <x:c r="J719" s="73" t="n">
        <x:f>INDEX(Drivers!$H$8:$H$13,B719)</x:f>
        <x:v>2</x:v>
      </x:c>
      <x:c r="K719" s="73" t="n">
        <x:f>IF(J719=1,INDEX(TrackMap!$I$8:$I$141,H719),INDEX(TrackMap!$L$8:$L$141,H719))</x:f>
        <x:v>3028</x:v>
      </x:c>
      <x:c r="L719" s="73" t="str">
        <x:f>INDEX(TrackMap!$F$8:$F$141,H719)</x:f>
        <x:v>←</x:v>
      </x:c>
      <x:c r="M719" s="87" t="n">
        <x:f>MAX(0,G719/Control!$B$17)</x:f>
        <x:v>0.5846748075686247</x:v>
      </x:c>
      <x:c r="N719" s="73" t="n">
        <x:f>IF(N713&gt;0,N713,IF(G719&gt;=Control!$B$17,A719,0))</x:f>
        <x:v>0</x:v>
      </x:c>
      <x:c r="O719" s="91" t="n">
        <x:f>IF(N719&gt;0,Control!$B$17+Control!$B$8+1-N719,G719)-B719/100000</x:f>
        <x:v>391.7320810709785</x:v>
      </x:c>
      <x:c r="P719" s="73" t="n">
        <x:f>COUNTIF($O$716:$O$721,"&gt;"&amp;O719)+1</x:f>
        <x:v>5</x:v>
      </x:c>
      <x:c r="Q719" s="83" t="n">
        <x:f>MAX($G$716:$G$721)-G719</x:f>
        <x:v>26.68313338029219</x:v>
      </x:c>
      <x:c r="R719" s="73" t="str">
        <x:f>INDEX(TrackMap!$B$8:$B$141,H719)</x:f>
        <x:v>发车大直道</x:v>
      </x:c>
    </x:row>
    <x:row r="720" ht="20" customHeight="1">
      <x:c r="A720" s="73" t="n">
        <x:v>118</x:v>
      </x:c>
      <x:c r="B720" s="73" t="n">
        <x:v>5</x:v>
      </x:c>
      <x:c r="C720" s="73" t="str">
        <x:f>INDEX(Drivers!$B$8:$B$13,B720)</x:f>
        <x:v>青锋</x:v>
      </x:c>
      <x:c r="D720" s="83" t="n">
        <x:f>G714</x:f>
        <x:v>403.23416334537086</x:v>
      </x:c>
      <x:c r="E720" s="83" t="str">
        <x:f>IF(A720=0,"GRID",IF(D720&gt;=Control!$B$17,"FINISHED",IF(AND(A720&gt;=INDEX(Drivers!$G$8:$G$13,B720),A720&lt;INDEX(Drivers!$G$8:$G$13,B720)+INDEX(Drivers!$J$8:$J$13,B720)),"PIT",IF(MOD(A720+INDEX(Drivers!$F$8:$F$13,B720),Control!$B$11)&lt;Control!$B$13,"BOOST","RACE"))))</x:f>
        <x:v>BOOST</x:v>
      </x:c>
      <x:c r="F720" s="83" t="n">
        <x:f>IF(OR(E720="GRID",E720="FINISHED",E720="PIT"),0,MAX(Control!$B$15,(INDEX(Drivers!$D$8:$D$13,B720)+INDEX(Drivers!$E$8:$E$13,B720)*SIN((A720+INDEX(Drivers!$F$8:$F$13,B720)+Control!$B$16)*Control!$B$14))*INDEX(TrackMap!$M$8:$M$141,MOD(INT(D720)-1,Control!$B$7)+1)*IF(E720="BOOST",Control!$B$12,1)))</x:f>
        <x:v>3.852226840489889</x:v>
      </x:c>
      <x:c r="G720" s="83" t="n">
        <x:f>IF(A720=0,D720,MIN(Control!$B$17,D720+F720))</x:f>
        <x:v>407.08639018586075</x:v>
      </x:c>
      <x:c r="H720" s="73" t="n">
        <x:f>MOD(INT(G720)-1,Control!$B$7)+1</x:f>
        <x:v>5</x:v>
      </x:c>
      <x:c r="I720" s="73" t="n">
        <x:f>MIN(Control!$B$6,MAX(1,INT(MAX(0,G720)/Control!$B$7)+1))</x:f>
        <x:v>4</x:v>
      </x:c>
      <x:c r="J720" s="73" t="n">
        <x:f>INDEX(Drivers!$H$8:$H$13,B720)</x:f>
        <x:v>1</x:v>
      </x:c>
      <x:c r="K720" s="73" t="n">
        <x:f>IF(J720=1,INDEX(TrackMap!$I$8:$I$141,H720),INDEX(TrackMap!$L$8:$L$141,H720))</x:f>
        <x:v>3112</x:v>
      </x:c>
      <x:c r="L720" s="73" t="str">
        <x:f>INDEX(TrackMap!$F$8:$F$141,H720)</x:f>
        <x:v>←</x:v>
      </x:c>
      <x:c r="M720" s="87" t="n">
        <x:f>MAX(0,G720/Control!$B$17)</x:f>
        <x:v>0.6075916271430758</x:v>
      </x:c>
      <x:c r="N720" s="73" t="n">
        <x:f>IF(N714&gt;0,N714,IF(G720&gt;=Control!$B$17,A720,0))</x:f>
        <x:v>0</x:v>
      </x:c>
      <x:c r="O720" s="91" t="n">
        <x:f>IF(N720&gt;0,Control!$B$17+Control!$B$8+1-N720,G720)-B720/100000</x:f>
        <x:v>407.08634018586076</x:v>
      </x:c>
      <x:c r="P720" s="73" t="n">
        <x:f>COUNTIF($O$716:$O$721,"&gt;"&amp;O720)+1</x:f>
        <x:v>3</x:v>
      </x:c>
      <x:c r="Q720" s="83" t="n">
        <x:f>MAX($G$716:$G$721)-G720</x:f>
        <x:v>11.328864265409948</x:v>
      </x:c>
      <x:c r="R720" s="73" t="str">
        <x:f>INDEX(TrackMap!$B$8:$B$141,H720)</x:f>
        <x:v>发车大直道</x:v>
      </x:c>
    </x:row>
    <x:row r="721" ht="20" customHeight="1">
      <x:c r="A721" s="73" t="n">
        <x:v>118</x:v>
      </x:c>
      <x:c r="B721" s="73" t="n">
        <x:v>6</x:v>
      </x:c>
      <x:c r="C721" s="73" t="str">
        <x:f>INDEX(Drivers!$B$8:$B$13,B721)</x:f>
        <x:v>玫速</x:v>
      </x:c>
      <x:c r="D721" s="83" t="n">
        <x:f>G715</x:f>
        <x:v>410.57043900147596</x:v>
      </x:c>
      <x:c r="E721" s="83" t="str">
        <x:f>IF(A721=0,"GRID",IF(D721&gt;=Control!$B$17,"FINISHED",IF(AND(A721&gt;=INDEX(Drivers!$G$8:$G$13,B721),A721&lt;INDEX(Drivers!$G$8:$G$13,B721)+INDEX(Drivers!$J$8:$J$13,B721)),"PIT",IF(MOD(A721+INDEX(Drivers!$F$8:$F$13,B721),Control!$B$11)&lt;Control!$B$13,"BOOST","RACE"))))</x:f>
        <x:v>RACE</x:v>
      </x:c>
      <x:c r="F721" s="83" t="n">
        <x:f>IF(OR(E721="GRID",E721="FINISHED",E721="PIT"),0,MAX(Control!$B$15,(INDEX(Drivers!$D$8:$D$13,B721)+INDEX(Drivers!$E$8:$E$13,B721)*SIN((A721+INDEX(Drivers!$F$8:$F$13,B721)+Control!$B$16)*Control!$B$14))*INDEX(TrackMap!$M$8:$M$141,MOD(INT(D721)-1,Control!$B$7)+1)*IF(E721="BOOST",Control!$B$12,1)))</x:f>
        <x:v>3.9661139959820226</x:v>
      </x:c>
      <x:c r="G721" s="83" t="n">
        <x:f>IF(A721=0,D721,MIN(Control!$B$17,D721+F721))</x:f>
        <x:v>414.536552997458</x:v>
      </x:c>
      <x:c r="H721" s="73" t="n">
        <x:f>MOD(INT(G721)-1,Control!$B$7)+1</x:f>
        <x:v>12</x:v>
      </x:c>
      <x:c r="I721" s="73" t="n">
        <x:f>MIN(Control!$B$6,MAX(1,INT(MAX(0,G721)/Control!$B$7)+1))</x:f>
        <x:v>4</x:v>
      </x:c>
      <x:c r="J721" s="73" t="n">
        <x:f>INDEX(Drivers!$H$8:$H$13,B721)</x:f>
        <x:v>2</x:v>
      </x:c>
      <x:c r="K721" s="73" t="n">
        <x:f>IF(J721=1,INDEX(TrackMap!$I$8:$I$141,H721),INDEX(TrackMap!$L$8:$L$141,H721))</x:f>
        <x:v>3005</x:v>
      </x:c>
      <x:c r="L721" s="73" t="str">
        <x:f>INDEX(TrackMap!$F$8:$F$141,H721)</x:f>
        <x:v>←</x:v>
      </x:c>
      <x:c r="M721" s="87" t="n">
        <x:f>MAX(0,G721/Control!$B$17)</x:f>
        <x:v>0.6187112731305343</x:v>
      </x:c>
      <x:c r="N721" s="73" t="n">
        <x:f>IF(N715&gt;0,N715,IF(G721&gt;=Control!$B$17,A721,0))</x:f>
        <x:v>0</x:v>
      </x:c>
      <x:c r="O721" s="91" t="n">
        <x:f>IF(N721&gt;0,Control!$B$17+Control!$B$8+1-N721,G721)-B721/100000</x:f>
        <x:v>414.53649299745797</x:v>
      </x:c>
      <x:c r="P721" s="73" t="n">
        <x:f>COUNTIF($O$716:$O$721,"&gt;"&amp;O721)+1</x:f>
        <x:v>2</x:v>
      </x:c>
      <x:c r="Q721" s="83" t="n">
        <x:f>MAX($G$716:$G$721)-G721</x:f>
        <x:v>3.8787014538127096</x:v>
      </x:c>
      <x:c r="R721" s="73" t="str">
        <x:f>INDEX(TrackMap!$B$8:$B$141,H721)</x:f>
        <x:v>发车大直道</x:v>
      </x:c>
    </x:row>
    <x:row r="722" ht="20" customHeight="1">
      <x:c r="A722" s="73" t="n">
        <x:v>119</x:v>
      </x:c>
      <x:c r="B722" s="73" t="n">
        <x:v>1</x:v>
      </x:c>
      <x:c r="C722" s="73" t="str">
        <x:f>INDEX(Drivers!$B$8:$B$13,B722)</x:f>
        <x:v>赤焰</x:v>
      </x:c>
      <x:c r="D722" s="83" t="n">
        <x:f>G716</x:f>
        <x:v>401.2698000615525</x:v>
      </x:c>
      <x:c r="E722" s="83" t="str">
        <x:f>IF(A722=0,"GRID",IF(D722&gt;=Control!$B$17,"FINISHED",IF(AND(A722&gt;=INDEX(Drivers!$G$8:$G$13,B722),A722&lt;INDEX(Drivers!$G$8:$G$13,B722)+INDEX(Drivers!$J$8:$J$13,B722)),"PIT",IF(MOD(A722+INDEX(Drivers!$F$8:$F$13,B722),Control!$B$11)&lt;Control!$B$13,"BOOST","RACE"))))</x:f>
        <x:v>RACE</x:v>
      </x:c>
      <x:c r="F722" s="83" t="n">
        <x:f>IF(OR(E722="GRID",E722="FINISHED",E722="PIT"),0,MAX(Control!$B$15,(INDEX(Drivers!$D$8:$D$13,B722)+INDEX(Drivers!$E$8:$E$13,B722)*SIN((A722+INDEX(Drivers!$F$8:$F$13,B722)+Control!$B$16)*Control!$B$14))*INDEX(TrackMap!$M$8:$M$141,MOD(INT(D722)-1,Control!$B$7)+1)*IF(E722="BOOST",Control!$B$12,1)))</x:f>
        <x:v>2.473710760318508</x:v>
      </x:c>
      <x:c r="G722" s="83" t="n">
        <x:f>IF(A722=0,D722,MIN(Control!$B$17,D722+F722))</x:f>
        <x:v>403.743510821871</x:v>
      </x:c>
      <x:c r="H722" s="73" t="n">
        <x:f>MOD(INT(G722)-1,Control!$B$7)+1</x:f>
        <x:v>1</x:v>
      </x:c>
      <x:c r="I722" s="73" t="n">
        <x:f>MIN(Control!$B$6,MAX(1,INT(MAX(0,G722)/Control!$B$7)+1))</x:f>
        <x:v>4</x:v>
      </x:c>
      <x:c r="J722" s="73" t="n">
        <x:f>INDEX(Drivers!$H$8:$H$13,B722)</x:f>
        <x:v>1</x:v>
      </x:c>
      <x:c r="K722" s="73" t="n">
        <x:f>IF(J722=1,INDEX(TrackMap!$I$8:$I$141,H722),INDEX(TrackMap!$L$8:$L$141,H722))</x:f>
        <x:v>3116</x:v>
      </x:c>
      <x:c r="L722" s="73" t="str">
        <x:f>INDEX(TrackMap!$F$8:$F$141,H722)</x:f>
        <x:v>←</x:v>
      </x:c>
      <x:c r="M722" s="87" t="n">
        <x:f>MAX(0,G722/Control!$B$17)</x:f>
        <x:v>0.6026022549580164</x:v>
      </x:c>
      <x:c r="N722" s="73" t="n">
        <x:f>IF(N716&gt;0,N716,IF(G722&gt;=Control!$B$17,A722,0))</x:f>
        <x:v>0</x:v>
      </x:c>
      <x:c r="O722" s="91" t="n">
        <x:f>IF(N722&gt;0,Control!$B$17+Control!$B$8+1-N722,G722)-B722/100000</x:f>
        <x:v>403.743500821871</x:v>
      </x:c>
      <x:c r="P722" s="73" t="n">
        <x:f>COUNTIF($O$722:$O$727,"&gt;"&amp;O722)+1</x:f>
        <x:v>4</x:v>
      </x:c>
      <x:c r="Q722" s="83" t="n">
        <x:f>MAX($G$722:$G$727)-G722</x:f>
        <x:v>17.2332156419144</x:v>
      </x:c>
      <x:c r="R722" s="73" t="str">
        <x:f>INDEX(TrackMap!$B$8:$B$141,H722)</x:f>
        <x:v>发车大直道</x:v>
      </x:c>
    </x:row>
    <x:row r="723" ht="20" customHeight="1">
      <x:c r="A723" s="73" t="n">
        <x:v>119</x:v>
      </x:c>
      <x:c r="B723" s="73" t="n">
        <x:v>2</x:v>
      </x:c>
      <x:c r="C723" s="73" t="str">
        <x:f>INDEX(Drivers!$B$8:$B$13,B723)</x:f>
        <x:v>蓝电</x:v>
      </x:c>
      <x:c r="D723" s="83" t="n">
        <x:f>G717</x:f>
        <x:v>388.48289750270817</x:v>
      </x:c>
      <x:c r="E723" s="83" t="str">
        <x:f>IF(A723=0,"GRID",IF(D723&gt;=Control!$B$17,"FINISHED",IF(AND(A723&gt;=INDEX(Drivers!$G$8:$G$13,B723),A723&lt;INDEX(Drivers!$G$8:$G$13,B723)+INDEX(Drivers!$J$8:$J$13,B723)),"PIT",IF(MOD(A723+INDEX(Drivers!$F$8:$F$13,B723),Control!$B$11)&lt;Control!$B$13,"BOOST","RACE"))))</x:f>
        <x:v>RACE</x:v>
      </x:c>
      <x:c r="F723" s="83" t="n">
        <x:f>IF(OR(E723="GRID",E723="FINISHED",E723="PIT"),0,MAX(Control!$B$15,(INDEX(Drivers!$D$8:$D$13,B723)+INDEX(Drivers!$E$8:$E$13,B723)*SIN((A723+INDEX(Drivers!$F$8:$F$13,B723)+Control!$B$16)*Control!$B$14))*INDEX(TrackMap!$M$8:$M$141,MOD(INT(D723)-1,Control!$B$7)+1)*IF(E723="BOOST",Control!$B$12,1)))</x:f>
        <x:v>4.179605198248787</x:v>
      </x:c>
      <x:c r="G723" s="83" t="n">
        <x:f>IF(A723=0,D723,MIN(Control!$B$17,D723+F723))</x:f>
        <x:v>392.66250270095696</x:v>
      </x:c>
      <x:c r="H723" s="73" t="n">
        <x:f>MOD(INT(G723)-1,Control!$B$7)+1</x:f>
        <x:v>124</x:v>
      </x:c>
      <x:c r="I723" s="73" t="n">
        <x:f>MIN(Control!$B$6,MAX(1,INT(MAX(0,G723)/Control!$B$7)+1))</x:f>
        <x:v>3</x:v>
      </x:c>
      <x:c r="J723" s="73" t="n">
        <x:f>INDEX(Drivers!$H$8:$H$13,B723)</x:f>
        <x:v>2</x:v>
      </x:c>
      <x:c r="K723" s="73" t="n">
        <x:f>IF(J723=1,INDEX(TrackMap!$I$8:$I$141,H723),INDEX(TrackMap!$L$8:$L$141,H723))</x:f>
        <x:v>3027</x:v>
      </x:c>
      <x:c r="L723" s="73" t="str">
        <x:f>INDEX(TrackMap!$F$8:$F$141,H723)</x:f>
        <x:v>←</x:v>
      </x:c>
      <x:c r="M723" s="87" t="n">
        <x:f>MAX(0,G723/Control!$B$17)</x:f>
        <x:v>0.5860634368670999</x:v>
      </x:c>
      <x:c r="N723" s="73" t="n">
        <x:f>IF(N717&gt;0,N717,IF(G723&gt;=Control!$B$17,A723,0))</x:f>
        <x:v>0</x:v>
      </x:c>
      <x:c r="O723" s="91" t="n">
        <x:f>IF(N723&gt;0,Control!$B$17+Control!$B$8+1-N723,G723)-B723/100000</x:f>
        <x:v>392.66248270095696</x:v>
      </x:c>
      <x:c r="P723" s="73" t="n">
        <x:f>COUNTIF($O$722:$O$727,"&gt;"&amp;O723)+1</x:f>
        <x:v>6</x:v>
      </x:c>
      <x:c r="Q723" s="83" t="n">
        <x:f>MAX($G$722:$G$727)-G723</x:f>
        <x:v>28.31422376282842</x:v>
      </x:c>
      <x:c r="R723" s="73" t="str">
        <x:f>INDEX(TrackMap!$B$8:$B$141,H723)</x:f>
        <x:v>发车大直道</x:v>
      </x:c>
    </x:row>
    <x:row r="724" ht="20" customHeight="1">
      <x:c r="A724" s="73" t="n">
        <x:v>119</x:v>
      </x:c>
      <x:c r="B724" s="73" t="n">
        <x:v>3</x:v>
      </x:c>
      <x:c r="C724" s="73" t="str">
        <x:f>INDEX(Drivers!$B$8:$B$13,B724)</x:f>
        <x:v>金翼</x:v>
      </x:c>
      <x:c r="D724" s="83" t="n">
        <x:f>G718</x:f>
        <x:v>418.4152544512707</x:v>
      </x:c>
      <x:c r="E724" s="83" t="str">
        <x:f>IF(A724=0,"GRID",IF(D724&gt;=Control!$B$17,"FINISHED",IF(AND(A724&gt;=INDEX(Drivers!$G$8:$G$13,B724),A724&lt;INDEX(Drivers!$G$8:$G$13,B724)+INDEX(Drivers!$J$8:$J$13,B724)),"PIT",IF(MOD(A724+INDEX(Drivers!$F$8:$F$13,B724),Control!$B$11)&lt;Control!$B$13,"BOOST","RACE"))))</x:f>
        <x:v>RACE</x:v>
      </x:c>
      <x:c r="F724" s="83" t="n">
        <x:f>IF(OR(E724="GRID",E724="FINISHED",E724="PIT"),0,MAX(Control!$B$15,(INDEX(Drivers!$D$8:$D$13,B724)+INDEX(Drivers!$E$8:$E$13,B724)*SIN((A724+INDEX(Drivers!$F$8:$F$13,B724)+Control!$B$16)*Control!$B$14))*INDEX(TrackMap!$M$8:$M$141,MOD(INT(D724)-1,Control!$B$7)+1)*IF(E724="BOOST",Control!$B$12,1)))</x:f>
        <x:v>2.5614720125146597</x:v>
      </x:c>
      <x:c r="G724" s="83" t="n">
        <x:f>IF(A724=0,D724,MIN(Control!$B$17,D724+F724))</x:f>
        <x:v>420.9767264637854</x:v>
      </x:c>
      <x:c r="H724" s="73" t="n">
        <x:f>MOD(INT(G724)-1,Control!$B$7)+1</x:f>
        <x:v>18</x:v>
      </x:c>
      <x:c r="I724" s="73" t="n">
        <x:f>MIN(Control!$B$6,MAX(1,INT(MAX(0,G724)/Control!$B$7)+1))</x:f>
        <x:v>4</x:v>
      </x:c>
      <x:c r="J724" s="73" t="n">
        <x:f>INDEX(Drivers!$H$8:$H$13,B724)</x:f>
        <x:v>1</x:v>
      </x:c>
      <x:c r="K724" s="73" t="n">
        <x:f>IF(J724=1,INDEX(TrackMap!$I$8:$I$141,H724),INDEX(TrackMap!$L$8:$L$141,H724))</x:f>
        <x:v>2403</x:v>
      </x:c>
      <x:c r="L724" s="73" t="str">
        <x:f>INDEX(TrackMap!$F$8:$F$141,H724)</x:f>
        <x:v>↑</x:v>
      </x:c>
      <x:c r="M724" s="87" t="n">
        <x:f>MAX(0,G724/Control!$B$17)</x:f>
        <x:v>0.628323472334008</x:v>
      </x:c>
      <x:c r="N724" s="73" t="n">
        <x:f>IF(N718&gt;0,N718,IF(G724&gt;=Control!$B$17,A724,0))</x:f>
        <x:v>0</x:v>
      </x:c>
      <x:c r="O724" s="91" t="n">
        <x:f>IF(N724&gt;0,Control!$B$17+Control!$B$8+1-N724,G724)-B724/100000</x:f>
        <x:v>420.9766964637854</x:v>
      </x:c>
      <x:c r="P724" s="73" t="n">
        <x:f>COUNTIF($O$722:$O$727,"&gt;"&amp;O724)+1</x:f>
        <x:v>1</x:v>
      </x:c>
      <x:c r="Q724" s="83" t="n">
        <x:f>MAX($G$722:$G$727)-G724</x:f>
        <x:v>0</x:v>
      </x:c>
      <x:c r="R724" s="73" t="str">
        <x:f>INDEX(TrackMap!$B$8:$B$141,H724)</x:f>
        <x:v>西侧回弯</x:v>
      </x:c>
    </x:row>
    <x:row r="725" ht="20" customHeight="1">
      <x:c r="A725" s="73" t="n">
        <x:v>119</x:v>
      </x:c>
      <x:c r="B725" s="73" t="n">
        <x:v>4</x:v>
      </x:c>
      <x:c r="C725" s="73" t="str">
        <x:f>INDEX(Drivers!$B$8:$B$13,B725)</x:f>
        <x:v>紫影</x:v>
      </x:c>
      <x:c r="D725" s="83" t="n">
        <x:f>G719</x:f>
        <x:v>391.7321210709785</x:v>
      </x:c>
      <x:c r="E725" s="83" t="str">
        <x:f>IF(A725=0,"GRID",IF(D725&gt;=Control!$B$17,"FINISHED",IF(AND(A725&gt;=INDEX(Drivers!$G$8:$G$13,B725),A725&lt;INDEX(Drivers!$G$8:$G$13,B725)+INDEX(Drivers!$J$8:$J$13,B725)),"PIT",IF(MOD(A725+INDEX(Drivers!$F$8:$F$13,B725),Control!$B$11)&lt;Control!$B$13,"BOOST","RACE"))))</x:f>
        <x:v>RACE</x:v>
      </x:c>
      <x:c r="F725" s="83" t="n">
        <x:f>IF(OR(E725="GRID",E725="FINISHED",E725="PIT"),0,MAX(Control!$B$15,(INDEX(Drivers!$D$8:$D$13,B725)+INDEX(Drivers!$E$8:$E$13,B725)*SIN((A725+INDEX(Drivers!$F$8:$F$13,B725)+Control!$B$16)*Control!$B$14))*INDEX(TrackMap!$M$8:$M$141,MOD(INT(D725)-1,Control!$B$7)+1)*IF(E725="BOOST",Control!$B$12,1)))</x:f>
        <x:v>3.8424872053088617</x:v>
      </x:c>
      <x:c r="G725" s="83" t="n">
        <x:f>IF(A725=0,D725,MIN(Control!$B$17,D725+F725))</x:f>
        <x:v>395.5746082762874</x:v>
      </x:c>
      <x:c r="H725" s="73" t="n">
        <x:f>MOD(INT(G725)-1,Control!$B$7)+1</x:f>
        <x:v>127</x:v>
      </x:c>
      <x:c r="I725" s="73" t="n">
        <x:f>MIN(Control!$B$6,MAX(1,INT(MAX(0,G725)/Control!$B$7)+1))</x:f>
        <x:v>3</x:v>
      </x:c>
      <x:c r="J725" s="73" t="n">
        <x:f>INDEX(Drivers!$H$8:$H$13,B725)</x:f>
        <x:v>2</x:v>
      </x:c>
      <x:c r="K725" s="73" t="n">
        <x:f>IF(J725=1,INDEX(TrackMap!$I$8:$I$141,H725),INDEX(TrackMap!$L$8:$L$141,H725))</x:f>
        <x:v>3024</x:v>
      </x:c>
      <x:c r="L725" s="73" t="str">
        <x:f>INDEX(TrackMap!$F$8:$F$141,H725)</x:f>
        <x:v>←</x:v>
      </x:c>
      <x:c r="M725" s="87" t="n">
        <x:f>MAX(0,G725/Control!$B$17)</x:f>
        <x:v>0.5904098630989364</x:v>
      </x:c>
      <x:c r="N725" s="73" t="n">
        <x:f>IF(N719&gt;0,N719,IF(G725&gt;=Control!$B$17,A725,0))</x:f>
        <x:v>0</x:v>
      </x:c>
      <x:c r="O725" s="91" t="n">
        <x:f>IF(N725&gt;0,Control!$B$17+Control!$B$8+1-N725,G725)-B725/100000</x:f>
        <x:v>395.5745682762874</x:v>
      </x:c>
      <x:c r="P725" s="73" t="n">
        <x:f>COUNTIF($O$722:$O$727,"&gt;"&amp;O725)+1</x:f>
        <x:v>5</x:v>
      </x:c>
      <x:c r="Q725" s="83" t="n">
        <x:f>MAX($G$722:$G$727)-G725</x:f>
        <x:v>25.40211818749799</x:v>
      </x:c>
      <x:c r="R725" s="73" t="str">
        <x:f>INDEX(TrackMap!$B$8:$B$141,H725)</x:f>
        <x:v>发车大直道</x:v>
      </x:c>
    </x:row>
    <x:row r="726" ht="20" customHeight="1">
      <x:c r="A726" s="73" t="n">
        <x:v>119</x:v>
      </x:c>
      <x:c r="B726" s="73" t="n">
        <x:v>5</x:v>
      </x:c>
      <x:c r="C726" s="73" t="str">
        <x:f>INDEX(Drivers!$B$8:$B$13,B726)</x:f>
        <x:v>青锋</x:v>
      </x:c>
      <x:c r="D726" s="83" t="n">
        <x:f>G720</x:f>
        <x:v>407.08639018586075</x:v>
      </x:c>
      <x:c r="E726" s="83" t="str">
        <x:f>IF(A726=0,"GRID",IF(D726&gt;=Control!$B$17,"FINISHED",IF(AND(A726&gt;=INDEX(Drivers!$G$8:$G$13,B726),A726&lt;INDEX(Drivers!$G$8:$G$13,B726)+INDEX(Drivers!$J$8:$J$13,B726)),"PIT",IF(MOD(A726+INDEX(Drivers!$F$8:$F$13,B726),Control!$B$11)&lt;Control!$B$13,"BOOST","RACE"))))</x:f>
        <x:v>BOOST</x:v>
      </x:c>
      <x:c r="F726" s="83" t="n">
        <x:f>IF(OR(E726="GRID",E726="FINISHED",E726="PIT"),0,MAX(Control!$B$15,(INDEX(Drivers!$D$8:$D$13,B726)+INDEX(Drivers!$E$8:$E$13,B726)*SIN((A726+INDEX(Drivers!$F$8:$F$13,B726)+Control!$B$16)*Control!$B$14))*INDEX(TrackMap!$M$8:$M$141,MOD(INT(D726)-1,Control!$B$7)+1)*IF(E726="BOOST",Control!$B$12,1)))</x:f>
        <x:v>5.189640599845904</x:v>
      </x:c>
      <x:c r="G726" s="83" t="n">
        <x:f>IF(A726=0,D726,MIN(Control!$B$17,D726+F726))</x:f>
        <x:v>412.27603078570667</x:v>
      </x:c>
      <x:c r="H726" s="73" t="n">
        <x:f>MOD(INT(G726)-1,Control!$B$7)+1</x:f>
        <x:v>10</x:v>
      </x:c>
      <x:c r="I726" s="73" t="n">
        <x:f>MIN(Control!$B$6,MAX(1,INT(MAX(0,G726)/Control!$B$7)+1))</x:f>
        <x:v>4</x:v>
      </x:c>
      <x:c r="J726" s="73" t="n">
        <x:f>INDEX(Drivers!$H$8:$H$13,B726)</x:f>
        <x:v>1</x:v>
      </x:c>
      <x:c r="K726" s="73" t="n">
        <x:f>IF(J726=1,INDEX(TrackMap!$I$8:$I$141,H726),INDEX(TrackMap!$L$8:$L$141,H726))</x:f>
        <x:v>3107</x:v>
      </x:c>
      <x:c r="L726" s="73" t="str">
        <x:f>INDEX(TrackMap!$F$8:$F$141,H726)</x:f>
        <x:v>←</x:v>
      </x:c>
      <x:c r="M726" s="87" t="n">
        <x:f>MAX(0,G726/Control!$B$17)</x:f>
        <x:v>0.6153373593816518</x:v>
      </x:c>
      <x:c r="N726" s="73" t="n">
        <x:f>IF(N720&gt;0,N720,IF(G726&gt;=Control!$B$17,A726,0))</x:f>
        <x:v>0</x:v>
      </x:c>
      <x:c r="O726" s="91" t="n">
        <x:f>IF(N726&gt;0,Control!$B$17+Control!$B$8+1-N726,G726)-B726/100000</x:f>
        <x:v>412.2759807857067</x:v>
      </x:c>
      <x:c r="P726" s="73" t="n">
        <x:f>COUNTIF($O$722:$O$727,"&gt;"&amp;O726)+1</x:f>
        <x:v>3</x:v>
      </x:c>
      <x:c r="Q726" s="83" t="n">
        <x:f>MAX($G$722:$G$727)-G726</x:f>
        <x:v>8.700695678078716</x:v>
      </x:c>
      <x:c r="R726" s="73" t="str">
        <x:f>INDEX(TrackMap!$B$8:$B$141,H726)</x:f>
        <x:v>发车大直道</x:v>
      </x:c>
    </x:row>
    <x:row r="727" ht="20" customHeight="1">
      <x:c r="A727" s="73" t="n">
        <x:v>119</x:v>
      </x:c>
      <x:c r="B727" s="73" t="n">
        <x:v>6</x:v>
      </x:c>
      <x:c r="C727" s="73" t="str">
        <x:f>INDEX(Drivers!$B$8:$B$13,B727)</x:f>
        <x:v>玫速</x:v>
      </x:c>
      <x:c r="D727" s="83" t="n">
        <x:f>G721</x:f>
        <x:v>414.536552997458</x:v>
      </x:c>
      <x:c r="E727" s="83" t="str">
        <x:f>IF(A727=0,"GRID",IF(D727&gt;=Control!$B$17,"FINISHED",IF(AND(A727&gt;=INDEX(Drivers!$G$8:$G$13,B727),A727&lt;INDEX(Drivers!$G$8:$G$13,B727)+INDEX(Drivers!$J$8:$J$13,B727)),"PIT",IF(MOD(A727+INDEX(Drivers!$F$8:$F$13,B727),Control!$B$11)&lt;Control!$B$13,"BOOST","RACE"))))</x:f>
        <x:v>RACE</x:v>
      </x:c>
      <x:c r="F727" s="83" t="n">
        <x:f>IF(OR(E727="GRID",E727="FINISHED",E727="PIT"),0,MAX(Control!$B$15,(INDEX(Drivers!$D$8:$D$13,B727)+INDEX(Drivers!$E$8:$E$13,B727)*SIN((A727+INDEX(Drivers!$F$8:$F$13,B727)+Control!$B$16)*Control!$B$14))*INDEX(TrackMap!$M$8:$M$141,MOD(INT(D727)-1,Control!$B$7)+1)*IF(E727="BOOST",Control!$B$12,1)))</x:f>
        <x:v>2.9297112236171587</x:v>
      </x:c>
      <x:c r="G727" s="83" t="n">
        <x:f>IF(A727=0,D727,MIN(Control!$B$17,D727+F727))</x:f>
        <x:v>417.46626422107516</x:v>
      </x:c>
      <x:c r="H727" s="73" t="n">
        <x:f>MOD(INT(G727)-1,Control!$B$7)+1</x:f>
        <x:v>15</x:v>
      </x:c>
      <x:c r="I727" s="73" t="n">
        <x:f>MIN(Control!$B$6,MAX(1,INT(MAX(0,G727)/Control!$B$7)+1))</x:f>
        <x:v>4</x:v>
      </x:c>
      <x:c r="J727" s="73" t="n">
        <x:f>INDEX(Drivers!$H$8:$H$13,B727)</x:f>
        <x:v>2</x:v>
      </x:c>
      <x:c r="K727" s="73" t="n">
        <x:f>IF(J727=1,INDEX(TrackMap!$I$8:$I$141,H727),INDEX(TrackMap!$L$8:$L$141,H727))</x:f>
        <x:v>2704</x:v>
      </x:c>
      <x:c r="L727" s="73" t="str">
        <x:f>INDEX(TrackMap!$F$8:$F$141,H727)</x:f>
        <x:v>↑</x:v>
      </x:c>
      <x:c r="M727" s="87" t="n">
        <x:f>MAX(0,G727/Control!$B$17)</x:f>
        <x:v>0.6230839764493659</x:v>
      </x:c>
      <x:c r="N727" s="73" t="n">
        <x:f>IF(N721&gt;0,N721,IF(G727&gt;=Control!$B$17,A727,0))</x:f>
        <x:v>0</x:v>
      </x:c>
      <x:c r="O727" s="91" t="n">
        <x:f>IF(N727&gt;0,Control!$B$17+Control!$B$8+1-N727,G727)-B727/100000</x:f>
        <x:v>417.46620422107515</x:v>
      </x:c>
      <x:c r="P727" s="73" t="n">
        <x:f>COUNTIF($O$722:$O$727,"&gt;"&amp;O727)+1</x:f>
        <x:v>2</x:v>
      </x:c>
      <x:c r="Q727" s="83" t="n">
        <x:f>MAX($G$722:$G$727)-G727</x:f>
        <x:v>3.5104622427102186</x:v>
      </x:c>
      <x:c r="R727" s="73" t="str">
        <x:f>INDEX(TrackMap!$B$8:$B$141,H727)</x:f>
        <x:v>西侧回弯</x:v>
      </x:c>
    </x:row>
    <x:row r="728" ht="20" customHeight="1">
      <x:c r="A728" s="73" t="n">
        <x:v>120</x:v>
      </x:c>
      <x:c r="B728" s="73" t="n">
        <x:v>1</x:v>
      </x:c>
      <x:c r="C728" s="73" t="str">
        <x:f>INDEX(Drivers!$B$8:$B$13,B728)</x:f>
        <x:v>赤焰</x:v>
      </x:c>
      <x:c r="D728" s="83" t="n">
        <x:f>G722</x:f>
        <x:v>403.743510821871</x:v>
      </x:c>
      <x:c r="E728" s="83" t="str">
        <x:f>IF(A728=0,"GRID",IF(D728&gt;=Control!$B$17,"FINISHED",IF(AND(A728&gt;=INDEX(Drivers!$G$8:$G$13,B728),A728&lt;INDEX(Drivers!$G$8:$G$13,B728)+INDEX(Drivers!$J$8:$J$13,B728)),"PIT",IF(MOD(A728+INDEX(Drivers!$F$8:$F$13,B728),Control!$B$11)&lt;Control!$B$13,"BOOST","RACE"))))</x:f>
        <x:v>RACE</x:v>
      </x:c>
      <x:c r="F728" s="83" t="n">
        <x:f>IF(OR(E728="GRID",E728="FINISHED",E728="PIT"),0,MAX(Control!$B$15,(INDEX(Drivers!$D$8:$D$13,B728)+INDEX(Drivers!$E$8:$E$13,B728)*SIN((A728+INDEX(Drivers!$F$8:$F$13,B728)+Control!$B$16)*Control!$B$14))*INDEX(TrackMap!$M$8:$M$141,MOD(INT(D728)-1,Control!$B$7)+1)*IF(E728="BOOST",Control!$B$12,1)))</x:f>
        <x:v>2.575423024859891</x:v>
      </x:c>
      <x:c r="G728" s="83" t="n">
        <x:f>IF(A728=0,D728,MIN(Control!$B$17,D728+F728))</x:f>
        <x:v>406.3189338467309</x:v>
      </x:c>
      <x:c r="H728" s="73" t="n">
        <x:f>MOD(INT(G728)-1,Control!$B$7)+1</x:f>
        <x:v>4</x:v>
      </x:c>
      <x:c r="I728" s="73" t="n">
        <x:f>MIN(Control!$B$6,MAX(1,INT(MAX(0,G728)/Control!$B$7)+1))</x:f>
        <x:v>4</x:v>
      </x:c>
      <x:c r="J728" s="73" t="n">
        <x:f>INDEX(Drivers!$H$8:$H$13,B728)</x:f>
        <x:v>1</x:v>
      </x:c>
      <x:c r="K728" s="73" t="n">
        <x:f>IF(J728=1,INDEX(TrackMap!$I$8:$I$141,H728),INDEX(TrackMap!$L$8:$L$141,H728))</x:f>
        <x:v>3113</x:v>
      </x:c>
      <x:c r="L728" s="73" t="str">
        <x:f>INDEX(TrackMap!$F$8:$F$141,H728)</x:f>
        <x:v>←</x:v>
      </x:c>
      <x:c r="M728" s="87" t="n">
        <x:f>MAX(0,G728/Control!$B$17)</x:f>
        <x:v>0.6064461699204938</x:v>
      </x:c>
      <x:c r="N728" s="73" t="n">
        <x:f>IF(N722&gt;0,N722,IF(G728&gt;=Control!$B$17,A728,0))</x:f>
        <x:v>0</x:v>
      </x:c>
      <x:c r="O728" s="91" t="n">
        <x:f>IF(N728&gt;0,Control!$B$17+Control!$B$8+1-N728,G728)-B728/100000</x:f>
        <x:v>406.3189238467309</x:v>
      </x:c>
      <x:c r="P728" s="73" t="n">
        <x:f>COUNTIF($O$728:$O$733,"&gt;"&amp;O728)+1</x:f>
        <x:v>4</x:v>
      </x:c>
      <x:c r="Q728" s="83" t="n">
        <x:f>MAX($G$728:$G$733)-G728</x:f>
        <x:v>17.163012313183344</x:v>
      </x:c>
      <x:c r="R728" s="73" t="str">
        <x:f>INDEX(TrackMap!$B$8:$B$141,H728)</x:f>
        <x:v>发车大直道</x:v>
      </x:c>
    </x:row>
    <x:row r="729" ht="20" customHeight="1">
      <x:c r="A729" s="73" t="n">
        <x:v>120</x:v>
      </x:c>
      <x:c r="B729" s="73" t="n">
        <x:v>2</x:v>
      </x:c>
      <x:c r="C729" s="73" t="str">
        <x:f>INDEX(Drivers!$B$8:$B$13,B729)</x:f>
        <x:v>蓝电</x:v>
      </x:c>
      <x:c r="D729" s="83" t="n">
        <x:f>G723</x:f>
        <x:v>392.66250270095696</x:v>
      </x:c>
      <x:c r="E729" s="83" t="str">
        <x:f>IF(A729=0,"GRID",IF(D729&gt;=Control!$B$17,"FINISHED",IF(AND(A729&gt;=INDEX(Drivers!$G$8:$G$13,B729),A729&lt;INDEX(Drivers!$G$8:$G$13,B729)+INDEX(Drivers!$J$8:$J$13,B729)),"PIT",IF(MOD(A729+INDEX(Drivers!$F$8:$F$13,B729),Control!$B$11)&lt;Control!$B$13,"BOOST","RACE"))))</x:f>
        <x:v>RACE</x:v>
      </x:c>
      <x:c r="F729" s="83" t="n">
        <x:f>IF(OR(E729="GRID",E729="FINISHED",E729="PIT"),0,MAX(Control!$B$15,(INDEX(Drivers!$D$8:$D$13,B729)+INDEX(Drivers!$E$8:$E$13,B729)*SIN((A729+INDEX(Drivers!$F$8:$F$13,B729)+Control!$B$16)*Control!$B$14))*INDEX(TrackMap!$M$8:$M$141,MOD(INT(D729)-1,Control!$B$7)+1)*IF(E729="BOOST",Control!$B$12,1)))</x:f>
        <x:v>4.1468979772938885</x:v>
      </x:c>
      <x:c r="G729" s="83" t="n">
        <x:f>IF(A729=0,D729,MIN(Control!$B$17,D729+F729))</x:f>
        <x:v>396.8094006782508</x:v>
      </x:c>
      <x:c r="H729" s="73" t="n">
        <x:f>MOD(INT(G729)-1,Control!$B$7)+1</x:f>
        <x:v>128</x:v>
      </x:c>
      <x:c r="I729" s="73" t="n">
        <x:f>MIN(Control!$B$6,MAX(1,INT(MAX(0,G729)/Control!$B$7)+1))</x:f>
        <x:v>3</x:v>
      </x:c>
      <x:c r="J729" s="73" t="n">
        <x:f>INDEX(Drivers!$H$8:$H$13,B729)</x:f>
        <x:v>2</x:v>
      </x:c>
      <x:c r="K729" s="73" t="n">
        <x:f>IF(J729=1,INDEX(TrackMap!$I$8:$I$141,H729),INDEX(TrackMap!$L$8:$L$141,H729))</x:f>
        <x:v>3023</x:v>
      </x:c>
      <x:c r="L729" s="73" t="str">
        <x:f>INDEX(TrackMap!$F$8:$F$141,H729)</x:f>
        <x:v>←</x:v>
      </x:c>
      <x:c r="M729" s="87" t="n">
        <x:f>MAX(0,G729/Control!$B$17)</x:f>
        <x:v>0.5922528368332102</x:v>
      </x:c>
      <x:c r="N729" s="73" t="n">
        <x:f>IF(N723&gt;0,N723,IF(G729&gt;=Control!$B$17,A729,0))</x:f>
        <x:v>0</x:v>
      </x:c>
      <x:c r="O729" s="91" t="n">
        <x:f>IF(N729&gt;0,Control!$B$17+Control!$B$8+1-N729,G729)-B729/100000</x:f>
        <x:v>396.8093806782508</x:v>
      </x:c>
      <x:c r="P729" s="73" t="n">
        <x:f>COUNTIF($O$728:$O$733,"&gt;"&amp;O729)+1</x:f>
        <x:v>6</x:v>
      </x:c>
      <x:c r="Q729" s="83" t="n">
        <x:f>MAX($G$728:$G$733)-G729</x:f>
        <x:v>26.672545481663406</x:v>
      </x:c>
      <x:c r="R729" s="73" t="str">
        <x:f>INDEX(TrackMap!$B$8:$B$141,H729)</x:f>
        <x:v>发车大直道</x:v>
      </x:c>
    </x:row>
    <x:row r="730" ht="20" customHeight="1">
      <x:c r="A730" s="73" t="n">
        <x:v>120</x:v>
      </x:c>
      <x:c r="B730" s="73" t="n">
        <x:v>3</x:v>
      </x:c>
      <x:c r="C730" s="73" t="str">
        <x:f>INDEX(Drivers!$B$8:$B$13,B730)</x:f>
        <x:v>金翼</x:v>
      </x:c>
      <x:c r="D730" s="83" t="n">
        <x:f>G724</x:f>
        <x:v>420.9767264637854</x:v>
      </x:c>
      <x:c r="E730" s="83" t="str">
        <x:f>IF(A730=0,"GRID",IF(D730&gt;=Control!$B$17,"FINISHED",IF(AND(A730&gt;=INDEX(Drivers!$G$8:$G$13,B730),A730&lt;INDEX(Drivers!$G$8:$G$13,B730)+INDEX(Drivers!$J$8:$J$13,B730)),"PIT",IF(MOD(A730+INDEX(Drivers!$F$8:$F$13,B730),Control!$B$11)&lt;Control!$B$13,"BOOST","RACE"))))</x:f>
        <x:v>RACE</x:v>
      </x:c>
      <x:c r="F730" s="83" t="n">
        <x:f>IF(OR(E730="GRID",E730="FINISHED",E730="PIT"),0,MAX(Control!$B$15,(INDEX(Drivers!$D$8:$D$13,B730)+INDEX(Drivers!$E$8:$E$13,B730)*SIN((A730+INDEX(Drivers!$F$8:$F$13,B730)+Control!$B$16)*Control!$B$14))*INDEX(TrackMap!$M$8:$M$141,MOD(INT(D730)-1,Control!$B$7)+1)*IF(E730="BOOST",Control!$B$12,1)))</x:f>
        <x:v>2.5052196961288455</x:v>
      </x:c>
      <x:c r="G730" s="83" t="n">
        <x:f>IF(A730=0,D730,MIN(Control!$B$17,D730+F730))</x:f>
        <x:v>423.48194615991423</x:v>
      </x:c>
      <x:c r="H730" s="73" t="n">
        <x:f>MOD(INT(G730)-1,Control!$B$7)+1</x:f>
        <x:v>21</x:v>
      </x:c>
      <x:c r="I730" s="73" t="n">
        <x:f>MIN(Control!$B$6,MAX(1,INT(MAX(0,G730)/Control!$B$7)+1))</x:f>
        <x:v>4</x:v>
      </x:c>
      <x:c r="J730" s="73" t="n">
        <x:f>INDEX(Drivers!$H$8:$H$13,B730)</x:f>
        <x:v>1</x:v>
      </x:c>
      <x:c r="K730" s="73" t="n">
        <x:f>IF(J730=1,INDEX(TrackMap!$I$8:$I$141,H730),INDEX(TrackMap!$L$8:$L$141,H730))</x:f>
        <x:v>2206</x:v>
      </x:c>
      <x:c r="L730" s="73" t="str">
        <x:f>INDEX(TrackMap!$F$8:$F$141,H730)</x:f>
        <x:v>→</x:v>
      </x:c>
      <x:c r="M730" s="87" t="n">
        <x:f>MAX(0,G730/Control!$B$17)</x:f>
        <x:v>0.6320626062088273</x:v>
      </x:c>
      <x:c r="N730" s="73" t="n">
        <x:f>IF(N724&gt;0,N724,IF(G730&gt;=Control!$B$17,A730,0))</x:f>
        <x:v>0</x:v>
      </x:c>
      <x:c r="O730" s="91" t="n">
        <x:f>IF(N730&gt;0,Control!$B$17+Control!$B$8+1-N730,G730)-B730/100000</x:f>
        <x:v>423.48191615991425</x:v>
      </x:c>
      <x:c r="P730" s="73" t="n">
        <x:f>COUNTIF($O$728:$O$733,"&gt;"&amp;O730)+1</x:f>
        <x:v>1</x:v>
      </x:c>
      <x:c r="Q730" s="83" t="n">
        <x:f>MAX($G$728:$G$733)-G730</x:f>
        <x:v>0</x:v>
      </x:c>
      <x:c r="R730" s="73" t="str">
        <x:f>INDEX(TrackMap!$B$8:$B$141,H730)</x:f>
        <x:v>短直道</x:v>
      </x:c>
    </x:row>
    <x:row r="731" ht="20" customHeight="1">
      <x:c r="A731" s="73" t="n">
        <x:v>120</x:v>
      </x:c>
      <x:c r="B731" s="73" t="n">
        <x:v>4</x:v>
      </x:c>
      <x:c r="C731" s="73" t="str">
        <x:f>INDEX(Drivers!$B$8:$B$13,B731)</x:f>
        <x:v>紫影</x:v>
      </x:c>
      <x:c r="D731" s="83" t="n">
        <x:f>G725</x:f>
        <x:v>395.5746082762874</x:v>
      </x:c>
      <x:c r="E731" s="83" t="str">
        <x:f>IF(A731=0,"GRID",IF(D731&gt;=Control!$B$17,"FINISHED",IF(AND(A731&gt;=INDEX(Drivers!$G$8:$G$13,B731),A731&lt;INDEX(Drivers!$G$8:$G$13,B731)+INDEX(Drivers!$J$8:$J$13,B731)),"PIT",IF(MOD(A731+INDEX(Drivers!$F$8:$F$13,B731),Control!$B$11)&lt;Control!$B$13,"BOOST","RACE"))))</x:f>
        <x:v>RACE</x:v>
      </x:c>
      <x:c r="F731" s="83" t="n">
        <x:f>IF(OR(E731="GRID",E731="FINISHED",E731="PIT"),0,MAX(Control!$B$15,(INDEX(Drivers!$D$8:$D$13,B731)+INDEX(Drivers!$E$8:$E$13,B731)*SIN((A731+INDEX(Drivers!$F$8:$F$13,B731)+Control!$B$16)*Control!$B$14))*INDEX(TrackMap!$M$8:$M$141,MOD(INT(D731)-1,Control!$B$7)+1)*IF(E731="BOOST",Control!$B$12,1)))</x:f>
        <x:v>4.016604506186012</x:v>
      </x:c>
      <x:c r="G731" s="83" t="n">
        <x:f>IF(A731=0,D731,MIN(Control!$B$17,D731+F731))</x:f>
        <x:v>399.5912127824734</x:v>
      </x:c>
      <x:c r="H731" s="73" t="n">
        <x:f>MOD(INT(G731)-1,Control!$B$7)+1</x:f>
        <x:v>131</x:v>
      </x:c>
      <x:c r="I731" s="73" t="n">
        <x:f>MIN(Control!$B$6,MAX(1,INT(MAX(0,G731)/Control!$B$7)+1))</x:f>
        <x:v>3</x:v>
      </x:c>
      <x:c r="J731" s="73" t="n">
        <x:f>INDEX(Drivers!$H$8:$H$13,B731)</x:f>
        <x:v>2</x:v>
      </x:c>
      <x:c r="K731" s="73" t="n">
        <x:f>IF(J731=1,INDEX(TrackMap!$I$8:$I$141,H731),INDEX(TrackMap!$L$8:$L$141,H731))</x:f>
        <x:v>3020</x:v>
      </x:c>
      <x:c r="L731" s="73" t="str">
        <x:f>INDEX(TrackMap!$F$8:$F$141,H731)</x:f>
        <x:v>←</x:v>
      </x:c>
      <x:c r="M731" s="87" t="n">
        <x:f>MAX(0,G731/Control!$B$17)</x:f>
        <x:v>0.5964047951977215</x:v>
      </x:c>
      <x:c r="N731" s="73" t="n">
        <x:f>IF(N725&gt;0,N725,IF(G731&gt;=Control!$B$17,A731,0))</x:f>
        <x:v>0</x:v>
      </x:c>
      <x:c r="O731" s="91" t="n">
        <x:f>IF(N731&gt;0,Control!$B$17+Control!$B$8+1-N731,G731)-B731/100000</x:f>
        <x:v>399.5911727824734</x:v>
      </x:c>
      <x:c r="P731" s="73" t="n">
        <x:f>COUNTIF($O$728:$O$733,"&gt;"&amp;O731)+1</x:f>
        <x:v>5</x:v>
      </x:c>
      <x:c r="Q731" s="83" t="n">
        <x:f>MAX($G$728:$G$733)-G731</x:f>
        <x:v>23.890733377440824</x:v>
      </x:c>
      <x:c r="R731" s="73" t="str">
        <x:f>INDEX(TrackMap!$B$8:$B$141,H731)</x:f>
        <x:v>发车大直道</x:v>
      </x:c>
    </x:row>
    <x:row r="732" ht="20" customHeight="1">
      <x:c r="A732" s="73" t="n">
        <x:v>120</x:v>
      </x:c>
      <x:c r="B732" s="73" t="n">
        <x:v>5</x:v>
      </x:c>
      <x:c r="C732" s="73" t="str">
        <x:f>INDEX(Drivers!$B$8:$B$13,B732)</x:f>
        <x:v>青锋</x:v>
      </x:c>
      <x:c r="D732" s="83" t="n">
        <x:f>G726</x:f>
        <x:v>412.27603078570667</x:v>
      </x:c>
      <x:c r="E732" s="83" t="str">
        <x:f>IF(A732=0,"GRID",IF(D732&gt;=Control!$B$17,"FINISHED",IF(AND(A732&gt;=INDEX(Drivers!$G$8:$G$13,B732),A732&lt;INDEX(Drivers!$G$8:$G$13,B732)+INDEX(Drivers!$J$8:$J$13,B732)),"PIT",IF(MOD(A732+INDEX(Drivers!$F$8:$F$13,B732),Control!$B$11)&lt;Control!$B$13,"BOOST","RACE"))))</x:f>
        <x:v>BOOST</x:v>
      </x:c>
      <x:c r="F732" s="83" t="n">
        <x:f>IF(OR(E732="GRID",E732="FINISHED",E732="PIT"),0,MAX(Control!$B$15,(INDEX(Drivers!$D$8:$D$13,B732)+INDEX(Drivers!$E$8:$E$13,B732)*SIN((A732+INDEX(Drivers!$F$8:$F$13,B732)+Control!$B$16)*Control!$B$14))*INDEX(TrackMap!$M$8:$M$141,MOD(INT(D732)-1,Control!$B$7)+1)*IF(E732="BOOST",Control!$B$12,1)))</x:f>
        <x:v>5.4013950163201185</x:v>
      </x:c>
      <x:c r="G732" s="83" t="n">
        <x:f>IF(A732=0,D732,MIN(Control!$B$17,D732+F732))</x:f>
        <x:v>417.6774258020268</x:v>
      </x:c>
      <x:c r="H732" s="73" t="n">
        <x:f>MOD(INT(G732)-1,Control!$B$7)+1</x:f>
        <x:v>15</x:v>
      </x:c>
      <x:c r="I732" s="73" t="n">
        <x:f>MIN(Control!$B$6,MAX(1,INT(MAX(0,G732)/Control!$B$7)+1))</x:f>
        <x:v>4</x:v>
      </x:c>
      <x:c r="J732" s="73" t="n">
        <x:f>INDEX(Drivers!$H$8:$H$13,B732)</x:f>
        <x:v>1</x:v>
      </x:c>
      <x:c r="K732" s="73" t="n">
        <x:f>IF(J732=1,INDEX(TrackMap!$I$8:$I$141,H732),INDEX(TrackMap!$L$8:$L$141,H732))</x:f>
        <x:v>2703</x:v>
      </x:c>
      <x:c r="L732" s="73" t="str">
        <x:f>INDEX(TrackMap!$F$8:$F$141,H732)</x:f>
        <x:v>↑</x:v>
      </x:c>
      <x:c r="M732" s="87" t="n">
        <x:f>MAX(0,G732/Control!$B$17)</x:f>
        <x:v>0.6233991429880997</x:v>
      </x:c>
      <x:c r="N732" s="73" t="n">
        <x:f>IF(N726&gt;0,N726,IF(G732&gt;=Control!$B$17,A732,0))</x:f>
        <x:v>0</x:v>
      </x:c>
      <x:c r="O732" s="91" t="n">
        <x:f>IF(N732&gt;0,Control!$B$17+Control!$B$8+1-N732,G732)-B732/100000</x:f>
        <x:v>417.6773758020268</x:v>
      </x:c>
      <x:c r="P732" s="73" t="n">
        <x:f>COUNTIF($O$728:$O$733,"&gt;"&amp;O732)+1</x:f>
        <x:v>3</x:v>
      </x:c>
      <x:c r="Q732" s="83" t="n">
        <x:f>MAX($G$728:$G$733)-G732</x:f>
        <x:v>5.804520357887441</x:v>
      </x:c>
      <x:c r="R732" s="73" t="str">
        <x:f>INDEX(TrackMap!$B$8:$B$141,H732)</x:f>
        <x:v>西侧回弯</x:v>
      </x:c>
    </x:row>
    <x:row r="733" ht="20" customHeight="1">
      <x:c r="A733" s="73" t="n">
        <x:v>120</x:v>
      </x:c>
      <x:c r="B733" s="73" t="n">
        <x:v>6</x:v>
      </x:c>
      <x:c r="C733" s="73" t="str">
        <x:f>INDEX(Drivers!$B$8:$B$13,B733)</x:f>
        <x:v>玫速</x:v>
      </x:c>
      <x:c r="D733" s="83" t="n">
        <x:f>G727</x:f>
        <x:v>417.46626422107516</x:v>
      </x:c>
      <x:c r="E733" s="83" t="str">
        <x:f>IF(A733=0,"GRID",IF(D733&gt;=Control!$B$17,"FINISHED",IF(AND(A733&gt;=INDEX(Drivers!$G$8:$G$13,B733),A733&lt;INDEX(Drivers!$G$8:$G$13,B733)+INDEX(Drivers!$J$8:$J$13,B733)),"PIT",IF(MOD(A733+INDEX(Drivers!$F$8:$F$13,B733),Control!$B$11)&lt;Control!$B$13,"BOOST","RACE"))))</x:f>
        <x:v>RACE</x:v>
      </x:c>
      <x:c r="F733" s="83" t="n">
        <x:f>IF(OR(E733="GRID",E733="FINISHED",E733="PIT"),0,MAX(Control!$B$15,(INDEX(Drivers!$D$8:$D$13,B733)+INDEX(Drivers!$E$8:$E$13,B733)*SIN((A733+INDEX(Drivers!$F$8:$F$13,B733)+Control!$B$16)*Control!$B$14))*INDEX(TrackMap!$M$8:$M$141,MOD(INT(D733)-1,Control!$B$7)+1)*IF(E733="BOOST",Control!$B$12,1)))</x:f>
        <x:v>2.757826034493289</x:v>
      </x:c>
      <x:c r="G733" s="83" t="n">
        <x:f>IF(A733=0,D733,MIN(Control!$B$17,D733+F733))</x:f>
        <x:v>420.22409025556846</x:v>
      </x:c>
      <x:c r="H733" s="73" t="n">
        <x:f>MOD(INT(G733)-1,Control!$B$7)+1</x:f>
        <x:v>18</x:v>
      </x:c>
      <x:c r="I733" s="73" t="n">
        <x:f>MIN(Control!$B$6,MAX(1,INT(MAX(0,G733)/Control!$B$7)+1))</x:f>
        <x:v>4</x:v>
      </x:c>
      <x:c r="J733" s="73" t="n">
        <x:f>INDEX(Drivers!$H$8:$H$13,B733)</x:f>
        <x:v>2</x:v>
      </x:c>
      <x:c r="K733" s="73" t="n">
        <x:f>IF(J733=1,INDEX(TrackMap!$I$8:$I$141,H733),INDEX(TrackMap!$L$8:$L$141,H733))</x:f>
        <x:v>2404</x:v>
      </x:c>
      <x:c r="L733" s="73" t="str">
        <x:f>INDEX(TrackMap!$F$8:$F$141,H733)</x:f>
        <x:v>↑</x:v>
      </x:c>
      <x:c r="M733" s="87" t="n">
        <x:f>MAX(0,G733/Control!$B$17)</x:f>
        <x:v>0.6272001347098036</x:v>
      </x:c>
      <x:c r="N733" s="73" t="n">
        <x:f>IF(N727&gt;0,N727,IF(G733&gt;=Control!$B$17,A733,0))</x:f>
        <x:v>0</x:v>
      </x:c>
      <x:c r="O733" s="91" t="n">
        <x:f>IF(N733&gt;0,Control!$B$17+Control!$B$8+1-N733,G733)-B733/100000</x:f>
        <x:v>420.22403025556844</x:v>
      </x:c>
      <x:c r="P733" s="73" t="n">
        <x:f>COUNTIF($O$728:$O$733,"&gt;"&amp;O733)+1</x:f>
        <x:v>2</x:v>
      </x:c>
      <x:c r="Q733" s="83" t="n">
        <x:f>MAX($G$728:$G$733)-G733</x:f>
        <x:v>3.2578559043457744</x:v>
      </x:c>
      <x:c r="R733" s="73" t="str">
        <x:f>INDEX(TrackMap!$B$8:$B$141,H733)</x:f>
        <x:v>西侧回弯</x:v>
      </x:c>
    </x:row>
    <x:row r="734" ht="20" customHeight="1">
      <x:c r="A734" s="73" t="n">
        <x:v>121</x:v>
      </x:c>
      <x:c r="B734" s="73" t="n">
        <x:v>1</x:v>
      </x:c>
      <x:c r="C734" s="73" t="str">
        <x:f>INDEX(Drivers!$B$8:$B$13,B734)</x:f>
        <x:v>赤焰</x:v>
      </x:c>
      <x:c r="D734" s="83" t="n">
        <x:f>G728</x:f>
        <x:v>406.3189338467309</x:v>
      </x:c>
      <x:c r="E734" s="83" t="str">
        <x:f>IF(A734=0,"GRID",IF(D734&gt;=Control!$B$17,"FINISHED",IF(AND(A734&gt;=INDEX(Drivers!$G$8:$G$13,B734),A734&lt;INDEX(Drivers!$G$8:$G$13,B734)+INDEX(Drivers!$J$8:$J$13,B734)),"PIT",IF(MOD(A734+INDEX(Drivers!$F$8:$F$13,B734),Control!$B$11)&lt;Control!$B$13,"BOOST","RACE"))))</x:f>
        <x:v>BOOST</x:v>
      </x:c>
      <x:c r="F734" s="83" t="n">
        <x:f>IF(OR(E734="GRID",E734="FINISHED",E734="PIT"),0,MAX(Control!$B$15,(INDEX(Drivers!$D$8:$D$13,B734)+INDEX(Drivers!$E$8:$E$13,B734)*SIN((A734+INDEX(Drivers!$F$8:$F$13,B734)+Control!$B$16)*Control!$B$14))*INDEX(TrackMap!$M$8:$M$141,MOD(INT(D734)-1,Control!$B$7)+1)*IF(E734="BOOST",Control!$B$12,1)))</x:f>
        <x:v>4.697120698202261</x:v>
      </x:c>
      <x:c r="G734" s="83" t="n">
        <x:f>IF(A734=0,D734,MIN(Control!$B$17,D734+F734))</x:f>
        <x:v>411.0160545449331</x:v>
      </x:c>
      <x:c r="H734" s="73" t="n">
        <x:f>MOD(INT(G734)-1,Control!$B$7)+1</x:f>
        <x:v>9</x:v>
      </x:c>
      <x:c r="I734" s="73" t="n">
        <x:f>MIN(Control!$B$6,MAX(1,INT(MAX(0,G734)/Control!$B$7)+1))</x:f>
        <x:v>4</x:v>
      </x:c>
      <x:c r="J734" s="73" t="n">
        <x:f>INDEX(Drivers!$H$8:$H$13,B734)</x:f>
        <x:v>1</x:v>
      </x:c>
      <x:c r="K734" s="73" t="n">
        <x:f>IF(J734=1,INDEX(TrackMap!$I$8:$I$141,H734),INDEX(TrackMap!$L$8:$L$141,H734))</x:f>
        <x:v>3108</x:v>
      </x:c>
      <x:c r="L734" s="73" t="str">
        <x:f>INDEX(TrackMap!$F$8:$F$141,H734)</x:f>
        <x:v>←</x:v>
      </x:c>
      <x:c r="M734" s="87" t="n">
        <x:f>MAX(0,G734/Control!$B$17)</x:f>
        <x:v>0.6134567978282583</x:v>
      </x:c>
      <x:c r="N734" s="73" t="n">
        <x:f>IF(N728&gt;0,N728,IF(G734&gt;=Control!$B$17,A734,0))</x:f>
        <x:v>0</x:v>
      </x:c>
      <x:c r="O734" s="91" t="n">
        <x:f>IF(N734&gt;0,Control!$B$17+Control!$B$8+1-N734,G734)-B734/100000</x:f>
        <x:v>411.01604454493315</x:v>
      </x:c>
      <x:c r="P734" s="73" t="n">
        <x:f>COUNTIF($O$734:$O$739,"&gt;"&amp;O734)+1</x:f>
        <x:v>4</x:v>
      </x:c>
      <x:c r="Q734" s="83" t="n">
        <x:f>MAX($G$734:$G$739)-G734</x:f>
        <x:v>14.966395822531922</x:v>
      </x:c>
      <x:c r="R734" s="73" t="str">
        <x:f>INDEX(TrackMap!$B$8:$B$141,H734)</x:f>
        <x:v>发车大直道</x:v>
      </x:c>
    </x:row>
    <x:row r="735" ht="20" customHeight="1">
      <x:c r="A735" s="73" t="n">
        <x:v>121</x:v>
      </x:c>
      <x:c r="B735" s="73" t="n">
        <x:v>2</x:v>
      </x:c>
      <x:c r="C735" s="73" t="str">
        <x:f>INDEX(Drivers!$B$8:$B$13,B735)</x:f>
        <x:v>蓝电</x:v>
      </x:c>
      <x:c r="D735" s="83" t="n">
        <x:f>G729</x:f>
        <x:v>396.8094006782508</x:v>
      </x:c>
      <x:c r="E735" s="83" t="str">
        <x:f>IF(A735=0,"GRID",IF(D735&gt;=Control!$B$17,"FINISHED",IF(AND(A735&gt;=INDEX(Drivers!$G$8:$G$13,B735),A735&lt;INDEX(Drivers!$G$8:$G$13,B735)+INDEX(Drivers!$J$8:$J$13,B735)),"PIT",IF(MOD(A735+INDEX(Drivers!$F$8:$F$13,B735),Control!$B$11)&lt;Control!$B$13,"BOOST","RACE"))))</x:f>
        <x:v>RACE</x:v>
      </x:c>
      <x:c r="F735" s="83" t="n">
        <x:f>IF(OR(E735="GRID",E735="FINISHED",E735="PIT"),0,MAX(Control!$B$15,(INDEX(Drivers!$D$8:$D$13,B735)+INDEX(Drivers!$E$8:$E$13,B735)*SIN((A735+INDEX(Drivers!$F$8:$F$13,B735)+Control!$B$16)*Control!$B$14))*INDEX(TrackMap!$M$8:$M$141,MOD(INT(D735)-1,Control!$B$7)+1)*IF(E735="BOOST",Control!$B$12,1)))</x:f>
        <x:v>4.037463774550897</x:v>
      </x:c>
      <x:c r="G735" s="83" t="n">
        <x:f>IF(A735=0,D735,MIN(Control!$B$17,D735+F735))</x:f>
        <x:v>400.8468644528017</x:v>
      </x:c>
      <x:c r="H735" s="73" t="n">
        <x:f>MOD(INT(G735)-1,Control!$B$7)+1</x:f>
        <x:v>132</x:v>
      </x:c>
      <x:c r="I735" s="73" t="n">
        <x:f>MIN(Control!$B$6,MAX(1,INT(MAX(0,G735)/Control!$B$7)+1))</x:f>
        <x:v>3</x:v>
      </x:c>
      <x:c r="J735" s="73" t="n">
        <x:f>INDEX(Drivers!$H$8:$H$13,B735)</x:f>
        <x:v>2</x:v>
      </x:c>
      <x:c r="K735" s="73" t="n">
        <x:f>IF(J735=1,INDEX(TrackMap!$I$8:$I$141,H735),INDEX(TrackMap!$L$8:$L$141,H735))</x:f>
        <x:v>3019</x:v>
      </x:c>
      <x:c r="L735" s="73" t="str">
        <x:f>INDEX(TrackMap!$F$8:$F$141,H735)</x:f>
        <x:v>←</x:v>
      </x:c>
      <x:c r="M735" s="87" t="n">
        <x:f>MAX(0,G735/Control!$B$17)</x:f>
        <x:v>0.5982789021683608</x:v>
      </x:c>
      <x:c r="N735" s="73" t="n">
        <x:f>IF(N729&gt;0,N729,IF(G735&gt;=Control!$B$17,A735,0))</x:f>
        <x:v>0</x:v>
      </x:c>
      <x:c r="O735" s="91" t="n">
        <x:f>IF(N735&gt;0,Control!$B$17+Control!$B$8+1-N735,G735)-B735/100000</x:f>
        <x:v>400.8468444528017</x:v>
      </x:c>
      <x:c r="P735" s="73" t="n">
        <x:f>COUNTIF($O$734:$O$739,"&gt;"&amp;O735)+1</x:f>
        <x:v>6</x:v>
      </x:c>
      <x:c r="Q735" s="83" t="n">
        <x:f>MAX($G$734:$G$739)-G735</x:f>
        <x:v>25.135585914663352</x:v>
      </x:c>
      <x:c r="R735" s="73" t="str">
        <x:f>INDEX(TrackMap!$B$8:$B$141,H735)</x:f>
        <x:v>发车大直道</x:v>
      </x:c>
    </x:row>
    <x:row r="736" ht="20" customHeight="1">
      <x:c r="A736" s="73" t="n">
        <x:v>121</x:v>
      </x:c>
      <x:c r="B736" s="73" t="n">
        <x:v>3</x:v>
      </x:c>
      <x:c r="C736" s="73" t="str">
        <x:f>INDEX(Drivers!$B$8:$B$13,B736)</x:f>
        <x:v>金翼</x:v>
      </x:c>
      <x:c r="D736" s="83" t="n">
        <x:f>G730</x:f>
        <x:v>423.48194615991423</x:v>
      </x:c>
      <x:c r="E736" s="83" t="str">
        <x:f>IF(A736=0,"GRID",IF(D736&gt;=Control!$B$17,"FINISHED",IF(AND(A736&gt;=INDEX(Drivers!$G$8:$G$13,B736),A736&lt;INDEX(Drivers!$G$8:$G$13,B736)+INDEX(Drivers!$J$8:$J$13,B736)),"PIT",IF(MOD(A736+INDEX(Drivers!$F$8:$F$13,B736),Control!$B$11)&lt;Control!$B$13,"BOOST","RACE"))))</x:f>
        <x:v>RACE</x:v>
      </x:c>
      <x:c r="F736" s="83" t="n">
        <x:f>IF(OR(E736="GRID",E736="FINISHED",E736="PIT"),0,MAX(Control!$B$15,(INDEX(Drivers!$D$8:$D$13,B736)+INDEX(Drivers!$E$8:$E$13,B736)*SIN((A736+INDEX(Drivers!$F$8:$F$13,B736)+Control!$B$16)*Control!$B$14))*INDEX(TrackMap!$M$8:$M$141,MOD(INT(D736)-1,Control!$B$7)+1)*IF(E736="BOOST",Control!$B$12,1)))</x:f>
        <x:v>2.5005042075508346</x:v>
      </x:c>
      <x:c r="G736" s="83" t="n">
        <x:f>IF(A736=0,D736,MIN(Control!$B$17,D736+F736))</x:f>
        <x:v>425.98245036746505</x:v>
      </x:c>
      <x:c r="H736" s="73" t="n">
        <x:f>MOD(INT(G736)-1,Control!$B$7)+1</x:f>
        <x:v>23</x:v>
      </x:c>
      <x:c r="I736" s="73" t="n">
        <x:f>MIN(Control!$B$6,MAX(1,INT(MAX(0,G736)/Control!$B$7)+1))</x:f>
        <x:v>4</x:v>
      </x:c>
      <x:c r="J736" s="73" t="n">
        <x:f>INDEX(Drivers!$H$8:$H$13,B736)</x:f>
        <x:v>1</x:v>
      </x:c>
      <x:c r="K736" s="73" t="n">
        <x:f>IF(J736=1,INDEX(TrackMap!$I$8:$I$141,H736),INDEX(TrackMap!$L$8:$L$141,H736))</x:f>
        <x:v>2208</x:v>
      </x:c>
      <x:c r="L736" s="73" t="str">
        <x:f>INDEX(TrackMap!$F$8:$F$141,H736)</x:f>
        <x:v>→</x:v>
      </x:c>
      <x:c r="M736" s="87" t="n">
        <x:f>MAX(0,G736/Control!$B$17)</x:f>
        <x:v>0.6357947020409926</x:v>
      </x:c>
      <x:c r="N736" s="73" t="n">
        <x:f>IF(N730&gt;0,N730,IF(G736&gt;=Control!$B$17,A736,0))</x:f>
        <x:v>0</x:v>
      </x:c>
      <x:c r="O736" s="91" t="n">
        <x:f>IF(N736&gt;0,Control!$B$17+Control!$B$8+1-N736,G736)-B736/100000</x:f>
        <x:v>425.98242036746507</x:v>
      </x:c>
      <x:c r="P736" s="73" t="n">
        <x:f>COUNTIF($O$734:$O$739,"&gt;"&amp;O736)+1</x:f>
        <x:v>1</x:v>
      </x:c>
      <x:c r="Q736" s="83" t="n">
        <x:f>MAX($G$734:$G$739)-G736</x:f>
        <x:v>0</x:v>
      </x:c>
      <x:c r="R736" s="73" t="str">
        <x:f>INDEX(TrackMap!$B$8:$B$141,H736)</x:f>
        <x:v>短直道</x:v>
      </x:c>
    </x:row>
    <x:row r="737" ht="20" customHeight="1">
      <x:c r="A737" s="73" t="n">
        <x:v>121</x:v>
      </x:c>
      <x:c r="B737" s="73" t="n">
        <x:v>4</x:v>
      </x:c>
      <x:c r="C737" s="73" t="str">
        <x:f>INDEX(Drivers!$B$8:$B$13,B737)</x:f>
        <x:v>紫影</x:v>
      </x:c>
      <x:c r="D737" s="83" t="n">
        <x:f>G731</x:f>
        <x:v>399.5912127824734</x:v>
      </x:c>
      <x:c r="E737" s="83" t="str">
        <x:f>IF(A737=0,"GRID",IF(D737&gt;=Control!$B$17,"FINISHED",IF(AND(A737&gt;=INDEX(Drivers!$G$8:$G$13,B737),A737&lt;INDEX(Drivers!$G$8:$G$13,B737)+INDEX(Drivers!$J$8:$J$13,B737)),"PIT",IF(MOD(A737+INDEX(Drivers!$F$8:$F$13,B737),Control!$B$11)&lt;Control!$B$13,"BOOST","RACE"))))</x:f>
        <x:v>RACE</x:v>
      </x:c>
      <x:c r="F737" s="83" t="n">
        <x:f>IF(OR(E737="GRID",E737="FINISHED",E737="PIT"),0,MAX(Control!$B$15,(INDEX(Drivers!$D$8:$D$13,B737)+INDEX(Drivers!$E$8:$E$13,B737)*SIN((A737+INDEX(Drivers!$F$8:$F$13,B737)+Control!$B$16)*Control!$B$14))*INDEX(TrackMap!$M$8:$M$141,MOD(INT(D737)-1,Control!$B$7)+1)*IF(E737="BOOST",Control!$B$12,1)))</x:f>
        <x:v>4.134336341530971</x:v>
      </x:c>
      <x:c r="G737" s="83" t="n">
        <x:f>IF(A737=0,D737,MIN(Control!$B$17,D737+F737))</x:f>
        <x:v>403.7255491240044</x:v>
      </x:c>
      <x:c r="H737" s="73" t="n">
        <x:f>MOD(INT(G737)-1,Control!$B$7)+1</x:f>
        <x:v>1</x:v>
      </x:c>
      <x:c r="I737" s="73" t="n">
        <x:f>MIN(Control!$B$6,MAX(1,INT(MAX(0,G737)/Control!$B$7)+1))</x:f>
        <x:v>4</x:v>
      </x:c>
      <x:c r="J737" s="73" t="n">
        <x:f>INDEX(Drivers!$H$8:$H$13,B737)</x:f>
        <x:v>2</x:v>
      </x:c>
      <x:c r="K737" s="73" t="n">
        <x:f>IF(J737=1,INDEX(TrackMap!$I$8:$I$141,H737),INDEX(TrackMap!$L$8:$L$141,H737))</x:f>
        <x:v>3016</x:v>
      </x:c>
      <x:c r="L737" s="73" t="str">
        <x:f>INDEX(TrackMap!$F$8:$F$141,H737)</x:f>
        <x:v>←</x:v>
      </x:c>
      <x:c r="M737" s="87" t="n">
        <x:f>MAX(0,G737/Control!$B$17)</x:f>
        <x:v>0.6025754464537378</x:v>
      </x:c>
      <x:c r="N737" s="73" t="n">
        <x:f>IF(N731&gt;0,N731,IF(G737&gt;=Control!$B$17,A737,0))</x:f>
        <x:v>0</x:v>
      </x:c>
      <x:c r="O737" s="91" t="n">
        <x:f>IF(N737&gt;0,Control!$B$17+Control!$B$8+1-N737,G737)-B737/100000</x:f>
        <x:v>403.72550912400436</x:v>
      </x:c>
      <x:c r="P737" s="73" t="n">
        <x:f>COUNTIF($O$734:$O$739,"&gt;"&amp;O737)+1</x:f>
        <x:v>5</x:v>
      </x:c>
      <x:c r="Q737" s="83" t="n">
        <x:f>MAX($G$734:$G$739)-G737</x:f>
        <x:v>22.256901243460675</x:v>
      </x:c>
      <x:c r="R737" s="73" t="str">
        <x:f>INDEX(TrackMap!$B$8:$B$141,H737)</x:f>
        <x:v>发车大直道</x:v>
      </x:c>
    </x:row>
    <x:row r="738" ht="20" customHeight="1">
      <x:c r="A738" s="73" t="n">
        <x:v>121</x:v>
      </x:c>
      <x:c r="B738" s="73" t="n">
        <x:v>5</x:v>
      </x:c>
      <x:c r="C738" s="73" t="str">
        <x:f>INDEX(Drivers!$B$8:$B$13,B738)</x:f>
        <x:v>青锋</x:v>
      </x:c>
      <x:c r="D738" s="83" t="n">
        <x:f>G732</x:f>
        <x:v>417.6774258020268</x:v>
      </x:c>
      <x:c r="E738" s="83" t="str">
        <x:f>IF(A738=0,"GRID",IF(D738&gt;=Control!$B$17,"FINISHED",IF(AND(A738&gt;=INDEX(Drivers!$G$8:$G$13,B738),A738&lt;INDEX(Drivers!$G$8:$G$13,B738)+INDEX(Drivers!$J$8:$J$13,B738)),"PIT",IF(MOD(A738+INDEX(Drivers!$F$8:$F$13,B738),Control!$B$11)&lt;Control!$B$13,"BOOST","RACE"))))</x:f>
        <x:v>BOOST</x:v>
      </x:c>
      <x:c r="F738" s="83" t="n">
        <x:f>IF(OR(E738="GRID",E738="FINISHED",E738="PIT"),0,MAX(Control!$B$15,(INDEX(Drivers!$D$8:$D$13,B738)+INDEX(Drivers!$E$8:$E$13,B738)*SIN((A738+INDEX(Drivers!$F$8:$F$13,B738)+Control!$B$16)*Control!$B$14))*INDEX(TrackMap!$M$8:$M$141,MOD(INT(D738)-1,Control!$B$7)+1)*IF(E738="BOOST",Control!$B$12,1)))</x:f>
        <x:v>4.325377400869316</x:v>
      </x:c>
      <x:c r="G738" s="83" t="n">
        <x:f>IF(A738=0,D738,MIN(Control!$B$17,D738+F738))</x:f>
        <x:v>422.00280320289613</x:v>
      </x:c>
      <x:c r="H738" s="73" t="n">
        <x:f>MOD(INT(G738)-1,Control!$B$7)+1</x:f>
        <x:v>20</x:v>
      </x:c>
      <x:c r="I738" s="73" t="n">
        <x:f>MIN(Control!$B$6,MAX(1,INT(MAX(0,G738)/Control!$B$7)+1))</x:f>
        <x:v>4</x:v>
      </x:c>
      <x:c r="J738" s="73" t="n">
        <x:f>INDEX(Drivers!$H$8:$H$13,B738)</x:f>
        <x:v>1</x:v>
      </x:c>
      <x:c r="K738" s="73" t="n">
        <x:f>IF(J738=1,INDEX(TrackMap!$I$8:$I$141,H738),INDEX(TrackMap!$L$8:$L$141,H738))</x:f>
        <x:v>2204</x:v>
      </x:c>
      <x:c r="L738" s="73" t="str">
        <x:f>INDEX(TrackMap!$F$8:$F$141,H738)</x:f>
        <x:v>↑</x:v>
      </x:c>
      <x:c r="M738" s="87" t="n">
        <x:f>MAX(0,G738/Control!$B$17)</x:f>
        <x:v>0.6298549301535763</x:v>
      </x:c>
      <x:c r="N738" s="73" t="n">
        <x:f>IF(N732&gt;0,N732,IF(G738&gt;=Control!$B$17,A738,0))</x:f>
        <x:v>0</x:v>
      </x:c>
      <x:c r="O738" s="91" t="n">
        <x:f>IF(N738&gt;0,Control!$B$17+Control!$B$8+1-N738,G738)-B738/100000</x:f>
        <x:v>422.00275320289614</x:v>
      </x:c>
      <x:c r="P738" s="73" t="n">
        <x:f>COUNTIF($O$734:$O$739,"&gt;"&amp;O738)+1</x:f>
        <x:v>3</x:v>
      </x:c>
      <x:c r="Q738" s="83" t="n">
        <x:f>MAX($G$734:$G$739)-G738</x:f>
        <x:v>3.9796471645689167</x:v>
      </x:c>
      <x:c r="R738" s="73" t="str">
        <x:f>INDEX(TrackMap!$B$8:$B$141,H738)</x:f>
        <x:v>西侧回弯</x:v>
      </x:c>
    </x:row>
    <x:row r="739" ht="20" customHeight="1">
      <x:c r="A739" s="73" t="n">
        <x:v>121</x:v>
      </x:c>
      <x:c r="B739" s="73" t="n">
        <x:v>6</x:v>
      </x:c>
      <x:c r="C739" s="73" t="str">
        <x:f>INDEX(Drivers!$B$8:$B$13,B739)</x:f>
        <x:v>玫速</x:v>
      </x:c>
      <x:c r="D739" s="83" t="n">
        <x:f>G733</x:f>
        <x:v>420.22409025556846</x:v>
      </x:c>
      <x:c r="E739" s="83" t="str">
        <x:f>IF(A739=0,"GRID",IF(D739&gt;=Control!$B$17,"FINISHED",IF(AND(A739&gt;=INDEX(Drivers!$G$8:$G$13,B739),A739&lt;INDEX(Drivers!$G$8:$G$13,B739)+INDEX(Drivers!$J$8:$J$13,B739)),"PIT",IF(MOD(A739+INDEX(Drivers!$F$8:$F$13,B739),Control!$B$11)&lt;Control!$B$13,"BOOST","RACE"))))</x:f>
        <x:v>RACE</x:v>
      </x:c>
      <x:c r="F739" s="83" t="n">
        <x:f>IF(OR(E739="GRID",E739="FINISHED",E739="PIT"),0,MAX(Control!$B$15,(INDEX(Drivers!$D$8:$D$13,B739)+INDEX(Drivers!$E$8:$E$13,B739)*SIN((A739+INDEX(Drivers!$F$8:$F$13,B739)+Control!$B$16)*Control!$B$14))*INDEX(TrackMap!$M$8:$M$141,MOD(INT(D739)-1,Control!$B$7)+1)*IF(E739="BOOST",Control!$B$12,1)))</x:f>
        <x:v>2.6011772034924063</x:v>
      </x:c>
      <x:c r="G739" s="83" t="n">
        <x:f>IF(A739=0,D739,MIN(Control!$B$17,D739+F739))</x:f>
        <x:v>422.82526745906085</x:v>
      </x:c>
      <x:c r="H739" s="73" t="n">
        <x:f>MOD(INT(G739)-1,Control!$B$7)+1</x:f>
        <x:v>20</x:v>
      </x:c>
      <x:c r="I739" s="73" t="n">
        <x:f>MIN(Control!$B$6,MAX(1,INT(MAX(0,G739)/Control!$B$7)+1))</x:f>
        <x:v>4</x:v>
      </x:c>
      <x:c r="J739" s="73" t="n">
        <x:f>INDEX(Drivers!$H$8:$H$13,B739)</x:f>
        <x:v>2</x:v>
      </x:c>
      <x:c r="K739" s="73" t="n">
        <x:f>IF(J739=1,INDEX(TrackMap!$I$8:$I$141,H739),INDEX(TrackMap!$L$8:$L$141,H739))</x:f>
        <x:v>2205</x:v>
      </x:c>
      <x:c r="L739" s="73" t="str">
        <x:f>INDEX(TrackMap!$F$8:$F$141,H739)</x:f>
        <x:v>↑</x:v>
      </x:c>
      <x:c r="M739" s="87" t="n">
        <x:f>MAX(0,G739/Control!$B$17)</x:f>
        <x:v>0.6310824887448669</x:v>
      </x:c>
      <x:c r="N739" s="73" t="n">
        <x:f>IF(N733&gt;0,N733,IF(G739&gt;=Control!$B$17,A739,0))</x:f>
        <x:v>0</x:v>
      </x:c>
      <x:c r="O739" s="91" t="n">
        <x:f>IF(N739&gt;0,Control!$B$17+Control!$B$8+1-N739,G739)-B739/100000</x:f>
        <x:v>422.82520745906083</x:v>
      </x:c>
      <x:c r="P739" s="73" t="n">
        <x:f>COUNTIF($O$734:$O$739,"&gt;"&amp;O739)+1</x:f>
        <x:v>2</x:v>
      </x:c>
      <x:c r="Q739" s="83" t="n">
        <x:f>MAX($G$734:$G$739)-G739</x:f>
        <x:v>3.157182908404195</x:v>
      </x:c>
      <x:c r="R739" s="73" t="str">
        <x:f>INDEX(TrackMap!$B$8:$B$141,H739)</x:f>
        <x:v>西侧回弯</x:v>
      </x:c>
    </x:row>
    <x:row r="740" ht="20" customHeight="1">
      <x:c r="A740" s="73" t="n">
        <x:v>122</x:v>
      </x:c>
      <x:c r="B740" s="73" t="n">
        <x:v>1</x:v>
      </x:c>
      <x:c r="C740" s="73" t="str">
        <x:f>INDEX(Drivers!$B$8:$B$13,B740)</x:f>
        <x:v>赤焰</x:v>
      </x:c>
      <x:c r="D740" s="83" t="n">
        <x:f>G734</x:f>
        <x:v>411.0160545449331</x:v>
      </x:c>
      <x:c r="E740" s="83" t="str">
        <x:f>IF(A740=0,"GRID",IF(D740&gt;=Control!$B$17,"FINISHED",IF(AND(A740&gt;=INDEX(Drivers!$G$8:$G$13,B740),A740&lt;INDEX(Drivers!$G$8:$G$13,B740)+INDEX(Drivers!$J$8:$J$13,B740)),"PIT",IF(MOD(A740+INDEX(Drivers!$F$8:$F$13,B740),Control!$B$11)&lt;Control!$B$13,"BOOST","RACE"))))</x:f>
        <x:v>BOOST</x:v>
      </x:c>
      <x:c r="F740" s="83" t="n">
        <x:f>IF(OR(E740="GRID",E740="FINISHED",E740="PIT"),0,MAX(Control!$B$15,(INDEX(Drivers!$D$8:$D$13,B740)+INDEX(Drivers!$E$8:$E$13,B740)*SIN((A740+INDEX(Drivers!$F$8:$F$13,B740)+Control!$B$16)*Control!$B$14))*INDEX(TrackMap!$M$8:$M$141,MOD(INT(D740)-1,Control!$B$7)+1)*IF(E740="BOOST",Control!$B$12,1)))</x:f>
        <x:v>4.967959226502562</x:v>
      </x:c>
      <x:c r="G740" s="83" t="n">
        <x:f>IF(A740=0,D740,MIN(Control!$B$17,D740+F740))</x:f>
        <x:v>415.9840137714357</x:v>
      </x:c>
      <x:c r="H740" s="73" t="n">
        <x:f>MOD(INT(G740)-1,Control!$B$7)+1</x:f>
        <x:v>13</x:v>
      </x:c>
      <x:c r="I740" s="73" t="n">
        <x:f>MIN(Control!$B$6,MAX(1,INT(MAX(0,G740)/Control!$B$7)+1))</x:f>
        <x:v>4</x:v>
      </x:c>
      <x:c r="J740" s="73" t="n">
        <x:f>INDEX(Drivers!$H$8:$H$13,B740)</x:f>
        <x:v>1</x:v>
      </x:c>
      <x:c r="K740" s="73" t="n">
        <x:f>IF(J740=1,INDEX(TrackMap!$I$8:$I$141,H740),INDEX(TrackMap!$L$8:$L$141,H740))</x:f>
        <x:v>2903</x:v>
      </x:c>
      <x:c r="L740" s="73" t="str">
        <x:f>INDEX(TrackMap!$F$8:$F$141,H740)</x:f>
        <x:v>↑</x:v>
      </x:c>
      <x:c r="M740" s="87" t="n">
        <x:f>MAX(0,G740/Control!$B$17)</x:f>
        <x:v>0.6208716623454263</x:v>
      </x:c>
      <x:c r="N740" s="73" t="n">
        <x:f>IF(N734&gt;0,N734,IF(G740&gt;=Control!$B$17,A740,0))</x:f>
        <x:v>0</x:v>
      </x:c>
      <x:c r="O740" s="91" t="n">
        <x:f>IF(N740&gt;0,Control!$B$17+Control!$B$8+1-N740,G740)-B740/100000</x:f>
        <x:v>415.9840037714357</x:v>
      </x:c>
      <x:c r="P740" s="73" t="n">
        <x:f>COUNTIF($O$740:$O$745,"&gt;"&amp;O740)+1</x:f>
        <x:v>4</x:v>
      </x:c>
      <x:c r="Q740" s="83" t="n">
        <x:f>MAX($G$740:$G$745)-G740</x:f>
        <x:v>13.265056808898976</x:v>
      </x:c>
      <x:c r="R740" s="73" t="str">
        <x:f>INDEX(TrackMap!$B$8:$B$141,H740)</x:f>
        <x:v>西侧回弯</x:v>
      </x:c>
    </x:row>
    <x:row r="741" ht="20" customHeight="1">
      <x:c r="A741" s="73" t="n">
        <x:v>122</x:v>
      </x:c>
      <x:c r="B741" s="73" t="n">
        <x:v>2</x:v>
      </x:c>
      <x:c r="C741" s="73" t="str">
        <x:f>INDEX(Drivers!$B$8:$B$13,B741)</x:f>
        <x:v>蓝电</x:v>
      </x:c>
      <x:c r="D741" s="83" t="n">
        <x:f>G735</x:f>
        <x:v>400.8468644528017</x:v>
      </x:c>
      <x:c r="E741" s="83" t="str">
        <x:f>IF(A741=0,"GRID",IF(D741&gt;=Control!$B$17,"FINISHED",IF(AND(A741&gt;=INDEX(Drivers!$G$8:$G$13,B741),A741&lt;INDEX(Drivers!$G$8:$G$13,B741)+INDEX(Drivers!$J$8:$J$13,B741)),"PIT",IF(MOD(A741+INDEX(Drivers!$F$8:$F$13,B741),Control!$B$11)&lt;Control!$B$13,"BOOST","RACE"))))</x:f>
        <x:v>RACE</x:v>
      </x:c>
      <x:c r="F741" s="83" t="n">
        <x:f>IF(OR(E741="GRID",E741="FINISHED",E741="PIT"),0,MAX(Control!$B$15,(INDEX(Drivers!$D$8:$D$13,B741)+INDEX(Drivers!$E$8:$E$13,B741)*SIN((A741+INDEX(Drivers!$F$8:$F$13,B741)+Control!$B$16)*Control!$B$14))*INDEX(TrackMap!$M$8:$M$141,MOD(INT(D741)-1,Control!$B$7)+1)*IF(E741="BOOST",Control!$B$12,1)))</x:f>
        <x:v>3.8661139959820225</x:v>
      </x:c>
      <x:c r="G741" s="83" t="n">
        <x:f>IF(A741=0,D741,MIN(Control!$B$17,D741+F741))</x:f>
        <x:v>404.7129784487837</x:v>
      </x:c>
      <x:c r="H741" s="73" t="n">
        <x:f>MOD(INT(G741)-1,Control!$B$7)+1</x:f>
        <x:v>2</x:v>
      </x:c>
      <x:c r="I741" s="73" t="n">
        <x:f>MIN(Control!$B$6,MAX(1,INT(MAX(0,G741)/Control!$B$7)+1))</x:f>
        <x:v>4</x:v>
      </x:c>
      <x:c r="J741" s="73" t="n">
        <x:f>INDEX(Drivers!$H$8:$H$13,B741)</x:f>
        <x:v>2</x:v>
      </x:c>
      <x:c r="K741" s="73" t="n">
        <x:f>IF(J741=1,INDEX(TrackMap!$I$8:$I$141,H741),INDEX(TrackMap!$L$8:$L$141,H741))</x:f>
        <x:v>3015</x:v>
      </x:c>
      <x:c r="L741" s="73" t="str">
        <x:f>INDEX(TrackMap!$F$8:$F$141,H741)</x:f>
        <x:v>←</x:v>
      </x:c>
      <x:c r="M741" s="87" t="n">
        <x:f>MAX(0,G741/Control!$B$17)</x:f>
        <x:v>0.6040492215653488</x:v>
      </x:c>
      <x:c r="N741" s="73" t="n">
        <x:f>IF(N735&gt;0,N735,IF(G741&gt;=Control!$B$17,A741,0))</x:f>
        <x:v>0</x:v>
      </x:c>
      <x:c r="O741" s="91" t="n">
        <x:f>IF(N741&gt;0,Control!$B$17+Control!$B$8+1-N741,G741)-B741/100000</x:f>
        <x:v>404.7129584487837</x:v>
      </x:c>
      <x:c r="P741" s="73" t="n">
        <x:f>COUNTIF($O$740:$O$745,"&gt;"&amp;O741)+1</x:f>
        <x:v>6</x:v>
      </x:c>
      <x:c r="Q741" s="83" t="n">
        <x:f>MAX($G$740:$G$745)-G741</x:f>
        <x:v>24.53609213155096</x:v>
      </x:c>
      <x:c r="R741" s="73" t="str">
        <x:f>INDEX(TrackMap!$B$8:$B$141,H741)</x:f>
        <x:v>发车大直道</x:v>
      </x:c>
    </x:row>
    <x:row r="742" ht="20" customHeight="1">
      <x:c r="A742" s="73" t="n">
        <x:v>122</x:v>
      </x:c>
      <x:c r="B742" s="73" t="n">
        <x:v>3</x:v>
      </x:c>
      <x:c r="C742" s="73" t="str">
        <x:f>INDEX(Drivers!$B$8:$B$13,B742)</x:f>
        <x:v>金翼</x:v>
      </x:c>
      <x:c r="D742" s="83" t="n">
        <x:f>G736</x:f>
        <x:v>425.98245036746505</x:v>
      </x:c>
      <x:c r="E742" s="83" t="str">
        <x:f>IF(A742=0,"GRID",IF(D742&gt;=Control!$B$17,"FINISHED",IF(AND(A742&gt;=INDEX(Drivers!$G$8:$G$13,B742),A742&lt;INDEX(Drivers!$G$8:$G$13,B742)+INDEX(Drivers!$J$8:$J$13,B742)),"PIT",IF(MOD(A742+INDEX(Drivers!$F$8:$F$13,B742),Control!$B$11)&lt;Control!$B$13,"BOOST","RACE"))))</x:f>
        <x:v>RACE</x:v>
      </x:c>
      <x:c r="F742" s="83" t="n">
        <x:f>IF(OR(E742="GRID",E742="FINISHED",E742="PIT"),0,MAX(Control!$B$15,(INDEX(Drivers!$D$8:$D$13,B742)+INDEX(Drivers!$E$8:$E$13,B742)*SIN((A742+INDEX(Drivers!$F$8:$F$13,B742)+Control!$B$16)*Control!$B$14))*INDEX(TrackMap!$M$8:$M$141,MOD(INT(D742)-1,Control!$B$7)+1)*IF(E742="BOOST",Control!$B$12,1)))</x:f>
        <x:v>3.2666202128696207</x:v>
      </x:c>
      <x:c r="G742" s="83" t="n">
        <x:f>IF(A742=0,D742,MIN(Control!$B$17,D742+F742))</x:f>
        <x:v>429.24907058033466</x:v>
      </x:c>
      <x:c r="H742" s="73" t="n">
        <x:f>MOD(INT(G742)-1,Control!$B$7)+1</x:f>
        <x:v>27</x:v>
      </x:c>
      <x:c r="I742" s="73" t="n">
        <x:f>MIN(Control!$B$6,MAX(1,INT(MAX(0,G742)/Control!$B$7)+1))</x:f>
        <x:v>4</x:v>
      </x:c>
      <x:c r="J742" s="73" t="n">
        <x:f>INDEX(Drivers!$H$8:$H$13,B742)</x:f>
        <x:v>1</x:v>
      </x:c>
      <x:c r="K742" s="73" t="n">
        <x:f>IF(J742=1,INDEX(TrackMap!$I$8:$I$141,H742),INDEX(TrackMap!$L$8:$L$141,H742))</x:f>
        <x:v>1810</x:v>
      </x:c>
      <x:c r="L742" s="73" t="str">
        <x:f>INDEX(TrackMap!$F$8:$F$141,H742)</x:f>
        <x:v>↑</x:v>
      </x:c>
      <x:c r="M742" s="87" t="n">
        <x:f>MAX(0,G742/Control!$B$17)</x:f>
        <x:v>0.6406702545975144</x:v>
      </x:c>
      <x:c r="N742" s="73" t="n">
        <x:f>IF(N736&gt;0,N736,IF(G742&gt;=Control!$B$17,A742,0))</x:f>
        <x:v>0</x:v>
      </x:c>
      <x:c r="O742" s="91" t="n">
        <x:f>IF(N742&gt;0,Control!$B$17+Control!$B$8+1-N742,G742)-B742/100000</x:f>
        <x:v>429.2490405803347</x:v>
      </x:c>
      <x:c r="P742" s="73" t="n">
        <x:f>COUNTIF($O$740:$O$745,"&gt;"&amp;O742)+1</x:f>
        <x:v>1</x:v>
      </x:c>
      <x:c r="Q742" s="83" t="n">
        <x:f>MAX($G$740:$G$745)-G742</x:f>
        <x:v>0</x:v>
      </x:c>
      <x:c r="R742" s="73" t="str">
        <x:f>INDEX(TrackMap!$B$8:$B$141,H742)</x:f>
        <x:v>西侧上坡弯</x:v>
      </x:c>
    </x:row>
    <x:row r="743" ht="20" customHeight="1">
      <x:c r="A743" s="73" t="n">
        <x:v>122</x:v>
      </x:c>
      <x:c r="B743" s="73" t="n">
        <x:v>4</x:v>
      </x:c>
      <x:c r="C743" s="73" t="str">
        <x:f>INDEX(Drivers!$B$8:$B$13,B743)</x:f>
        <x:v>紫影</x:v>
      </x:c>
      <x:c r="D743" s="83" t="n">
        <x:f>G737</x:f>
        <x:v>403.7255491240044</x:v>
      </x:c>
      <x:c r="E743" s="83" t="str">
        <x:f>IF(A743=0,"GRID",IF(D743&gt;=Control!$B$17,"FINISHED",IF(AND(A743&gt;=INDEX(Drivers!$G$8:$G$13,B743),A743&lt;INDEX(Drivers!$G$8:$G$13,B743)+INDEX(Drivers!$J$8:$J$13,B743)),"PIT",IF(MOD(A743+INDEX(Drivers!$F$8:$F$13,B743),Control!$B$11)&lt;Control!$B$13,"BOOST","RACE"))))</x:f>
        <x:v>RACE</x:v>
      </x:c>
      <x:c r="F743" s="83" t="n">
        <x:f>IF(OR(E743="GRID",E743="FINISHED",E743="PIT"),0,MAX(Control!$B$15,(INDEX(Drivers!$D$8:$D$13,B743)+INDEX(Drivers!$E$8:$E$13,B743)*SIN((A743+INDEX(Drivers!$F$8:$F$13,B743)+Control!$B$16)*Control!$B$14))*INDEX(TrackMap!$M$8:$M$141,MOD(INT(D743)-1,Control!$B$7)+1)*IF(E743="BOOST",Control!$B$12,1)))</x:f>
        <x:v>3.2602036425931504</x:v>
      </x:c>
      <x:c r="G743" s="83" t="n">
        <x:f>IF(A743=0,D743,MIN(Control!$B$17,D743+F743))</x:f>
        <x:v>406.9857527665975</x:v>
      </x:c>
      <x:c r="H743" s="73" t="n">
        <x:f>MOD(INT(G743)-1,Control!$B$7)+1</x:f>
        <x:v>4</x:v>
      </x:c>
      <x:c r="I743" s="73" t="n">
        <x:f>MIN(Control!$B$6,MAX(1,INT(MAX(0,G743)/Control!$B$7)+1))</x:f>
        <x:v>4</x:v>
      </x:c>
      <x:c r="J743" s="73" t="n">
        <x:f>INDEX(Drivers!$H$8:$H$13,B743)</x:f>
        <x:v>2</x:v>
      </x:c>
      <x:c r="K743" s="73" t="n">
        <x:f>IF(J743=1,INDEX(TrackMap!$I$8:$I$141,H743),INDEX(TrackMap!$L$8:$L$141,H743))</x:f>
        <x:v>3013</x:v>
      </x:c>
      <x:c r="L743" s="73" t="str">
        <x:f>INDEX(TrackMap!$F$8:$F$141,H743)</x:f>
        <x:v>←</x:v>
      </x:c>
      <x:c r="M743" s="87" t="n">
        <x:f>MAX(0,G743/Control!$B$17)</x:f>
        <x:v>0.6074414220396978</x:v>
      </x:c>
      <x:c r="N743" s="73" t="n">
        <x:f>IF(N737&gt;0,N737,IF(G743&gt;=Control!$B$17,A743,0))</x:f>
        <x:v>0</x:v>
      </x:c>
      <x:c r="O743" s="91" t="n">
        <x:f>IF(N743&gt;0,Control!$B$17+Control!$B$8+1-N743,G743)-B743/100000</x:f>
        <x:v>406.9857127665975</x:v>
      </x:c>
      <x:c r="P743" s="73" t="n">
        <x:f>COUNTIF($O$740:$O$745,"&gt;"&amp;O743)+1</x:f>
        <x:v>5</x:v>
      </x:c>
      <x:c r="Q743" s="83" t="n">
        <x:f>MAX($G$740:$G$745)-G743</x:f>
        <x:v>22.26331781373716</x:v>
      </x:c>
      <x:c r="R743" s="73" t="str">
        <x:f>INDEX(TrackMap!$B$8:$B$141,H743)</x:f>
        <x:v>发车大直道</x:v>
      </x:c>
    </x:row>
    <x:row r="744" ht="20" customHeight="1">
      <x:c r="A744" s="73" t="n">
        <x:v>122</x:v>
      </x:c>
      <x:c r="B744" s="73" t="n">
        <x:v>5</x:v>
      </x:c>
      <x:c r="C744" s="73" t="str">
        <x:f>INDEX(Drivers!$B$8:$B$13,B744)</x:f>
        <x:v>青锋</x:v>
      </x:c>
      <x:c r="D744" s="83" t="n">
        <x:f>G738</x:f>
        <x:v>422.00280320289613</x:v>
      </x:c>
      <x:c r="E744" s="83" t="str">
        <x:f>IF(A744=0,"GRID",IF(D744&gt;=Control!$B$17,"FINISHED",IF(AND(A744&gt;=INDEX(Drivers!$G$8:$G$13,B744),A744&lt;INDEX(Drivers!$G$8:$G$13,B744)+INDEX(Drivers!$J$8:$J$13,B744)),"PIT",IF(MOD(A744+INDEX(Drivers!$F$8:$F$13,B744),Control!$B$11)&lt;Control!$B$13,"BOOST","RACE"))))</x:f>
        <x:v>RACE</x:v>
      </x:c>
      <x:c r="F744" s="83" t="n">
        <x:f>IF(OR(E744="GRID",E744="FINISHED",E744="PIT"),0,MAX(Control!$B$15,(INDEX(Drivers!$D$8:$D$13,B744)+INDEX(Drivers!$E$8:$E$13,B744)*SIN((A744+INDEX(Drivers!$F$8:$F$13,B744)+Control!$B$16)*Control!$B$14))*INDEX(TrackMap!$M$8:$M$141,MOD(INT(D744)-1,Control!$B$7)+1)*IF(E744="BOOST",Control!$B$12,1)))</x:f>
        <x:v>3.2367331140161797</x:v>
      </x:c>
      <x:c r="G744" s="83" t="n">
        <x:f>IF(A744=0,D744,MIN(Control!$B$17,D744+F744))</x:f>
        <x:v>425.23953631691234</x:v>
      </x:c>
      <x:c r="H744" s="73" t="n">
        <x:f>MOD(INT(G744)-1,Control!$B$7)+1</x:f>
        <x:v>23</x:v>
      </x:c>
      <x:c r="I744" s="73" t="n">
        <x:f>MIN(Control!$B$6,MAX(1,INT(MAX(0,G744)/Control!$B$7)+1))</x:f>
        <x:v>4</x:v>
      </x:c>
      <x:c r="J744" s="73" t="n">
        <x:f>INDEX(Drivers!$H$8:$H$13,B744)</x:f>
        <x:v>1</x:v>
      </x:c>
      <x:c r="K744" s="73" t="n">
        <x:f>IF(J744=1,INDEX(TrackMap!$I$8:$I$141,H744),INDEX(TrackMap!$L$8:$L$141,H744))</x:f>
        <x:v>2208</x:v>
      </x:c>
      <x:c r="L744" s="73" t="str">
        <x:f>INDEX(TrackMap!$F$8:$F$141,H744)</x:f>
        <x:v>→</x:v>
      </x:c>
      <x:c r="M744" s="87" t="n">
        <x:f>MAX(0,G744/Control!$B$17)</x:f>
        <x:v>0.6346858750998692</x:v>
      </x:c>
      <x:c r="N744" s="73" t="n">
        <x:f>IF(N738&gt;0,N738,IF(G744&gt;=Control!$B$17,A744,0))</x:f>
        <x:v>0</x:v>
      </x:c>
      <x:c r="O744" s="91" t="n">
        <x:f>IF(N744&gt;0,Control!$B$17+Control!$B$8+1-N744,G744)-B744/100000</x:f>
        <x:v>425.23948631691235</x:v>
      </x:c>
      <x:c r="P744" s="73" t="n">
        <x:f>COUNTIF($O$740:$O$745,"&gt;"&amp;O744)+1</x:f>
        <x:v>3</x:v>
      </x:c>
      <x:c r="Q744" s="83" t="n">
        <x:f>MAX($G$740:$G$745)-G744</x:f>
        <x:v>4.009534263422324</x:v>
      </x:c>
      <x:c r="R744" s="73" t="str">
        <x:f>INDEX(TrackMap!$B$8:$B$141,H744)</x:f>
        <x:v>短直道</x:v>
      </x:c>
    </x:row>
    <x:row r="745" ht="20" customHeight="1">
      <x:c r="A745" s="73" t="n">
        <x:v>122</x:v>
      </x:c>
      <x:c r="B745" s="73" t="n">
        <x:v>6</x:v>
      </x:c>
      <x:c r="C745" s="73" t="str">
        <x:f>INDEX(Drivers!$B$8:$B$13,B745)</x:f>
        <x:v>玫速</x:v>
      </x:c>
      <x:c r="D745" s="83" t="n">
        <x:f>G739</x:f>
        <x:v>422.82526745906085</x:v>
      </x:c>
      <x:c r="E745" s="83" t="str">
        <x:f>IF(A745=0,"GRID",IF(D745&gt;=Control!$B$17,"FINISHED",IF(AND(A745&gt;=INDEX(Drivers!$G$8:$G$13,B745),A745&lt;INDEX(Drivers!$G$8:$G$13,B745)+INDEX(Drivers!$J$8:$J$13,B745)),"PIT",IF(MOD(A745+INDEX(Drivers!$F$8:$F$13,B745),Control!$B$11)&lt;Control!$B$13,"BOOST","RACE"))))</x:f>
        <x:v>RACE</x:v>
      </x:c>
      <x:c r="F745" s="83" t="n">
        <x:f>IF(OR(E745="GRID",E745="FINISHED",E745="PIT"),0,MAX(Control!$B$15,(INDEX(Drivers!$D$8:$D$13,B745)+INDEX(Drivers!$E$8:$E$13,B745)*SIN((A745+INDEX(Drivers!$F$8:$F$13,B745)+Control!$B$16)*Control!$B$14))*INDEX(TrackMap!$M$8:$M$141,MOD(INT(D745)-1,Control!$B$7)+1)*IF(E745="BOOST",Control!$B$12,1)))</x:f>
        <x:v>2.4809664150175923</x:v>
      </x:c>
      <x:c r="G745" s="83" t="n">
        <x:f>IF(A745=0,D745,MIN(Control!$B$17,D745+F745))</x:f>
        <x:v>425.30623387407843</x:v>
      </x:c>
      <x:c r="H745" s="73" t="n">
        <x:f>MOD(INT(G745)-1,Control!$B$7)+1</x:f>
        <x:v>23</x:v>
      </x:c>
      <x:c r="I745" s="73" t="n">
        <x:f>MIN(Control!$B$6,MAX(1,INT(MAX(0,G745)/Control!$B$7)+1))</x:f>
        <x:v>4</x:v>
      </x:c>
      <x:c r="J745" s="73" t="n">
        <x:f>INDEX(Drivers!$H$8:$H$13,B745)</x:f>
        <x:v>2</x:v>
      </x:c>
      <x:c r="K745" s="73" t="n">
        <x:f>IF(J745=1,INDEX(TrackMap!$I$8:$I$141,H745),INDEX(TrackMap!$L$8:$L$141,H745))</x:f>
        <x:v>2108</x:v>
      </x:c>
      <x:c r="L745" s="73" t="str">
        <x:f>INDEX(TrackMap!$F$8:$F$141,H745)</x:f>
        <x:v>→</x:v>
      </x:c>
      <x:c r="M745" s="87" t="n">
        <x:f>MAX(0,G745/Control!$B$17)</x:f>
        <x:v>0.6347854236926543</x:v>
      </x:c>
      <x:c r="N745" s="73" t="n">
        <x:f>IF(N739&gt;0,N739,IF(G745&gt;=Control!$B$17,A745,0))</x:f>
        <x:v>0</x:v>
      </x:c>
      <x:c r="O745" s="91" t="n">
        <x:f>IF(N745&gt;0,Control!$B$17+Control!$B$8+1-N745,G745)-B745/100000</x:f>
        <x:v>425.3061738740784</x:v>
      </x:c>
      <x:c r="P745" s="73" t="n">
        <x:f>COUNTIF($O$740:$O$745,"&gt;"&amp;O745)+1</x:f>
        <x:v>2</x:v>
      </x:c>
      <x:c r="Q745" s="83" t="n">
        <x:f>MAX($G$740:$G$745)-G745</x:f>
        <x:v>3.94283670625623</x:v>
      </x:c>
      <x:c r="R745" s="73" t="str">
        <x:f>INDEX(TrackMap!$B$8:$B$141,H745)</x:f>
        <x:v>短直道</x:v>
      </x:c>
    </x:row>
    <x:row r="746" ht="20" customHeight="1">
      <x:c r="A746" s="73" t="n">
        <x:v>123</x:v>
      </x:c>
      <x:c r="B746" s="73" t="n">
        <x:v>1</x:v>
      </x:c>
      <x:c r="C746" s="73" t="str">
        <x:f>INDEX(Drivers!$B$8:$B$13,B746)</x:f>
        <x:v>赤焰</x:v>
      </x:c>
      <x:c r="D746" s="83" t="n">
        <x:f>G740</x:f>
        <x:v>415.9840137714357</x:v>
      </x:c>
      <x:c r="E746" s="83" t="str">
        <x:f>IF(A746=0,"GRID",IF(D746&gt;=Control!$B$17,"FINISHED",IF(AND(A746&gt;=INDEX(Drivers!$G$8:$G$13,B746),A746&lt;INDEX(Drivers!$G$8:$G$13,B746)+INDEX(Drivers!$J$8:$J$13,B746)),"PIT",IF(MOD(A746+INDEX(Drivers!$F$8:$F$13,B746),Control!$B$11)&lt;Control!$B$13,"BOOST","RACE"))))</x:f>
        <x:v>BOOST</x:v>
      </x:c>
      <x:c r="F746" s="83" t="n">
        <x:f>IF(OR(E746="GRID",E746="FINISHED",E746="PIT"),0,MAX(Control!$B$15,(INDEX(Drivers!$D$8:$D$13,B746)+INDEX(Drivers!$E$8:$E$13,B746)*SIN((A746+INDEX(Drivers!$F$8:$F$13,B746)+Control!$B$16)*Control!$B$14))*INDEX(TrackMap!$M$8:$M$141,MOD(INT(D746)-1,Control!$B$7)+1)*IF(E746="BOOST",Control!$B$12,1)))</x:f>
        <x:v>4.081990994872871</x:v>
      </x:c>
      <x:c r="G746" s="83" t="n">
        <x:f>IF(A746=0,D746,MIN(Control!$B$17,D746+F746))</x:f>
        <x:v>420.06600476630854</x:v>
      </x:c>
      <x:c r="H746" s="73" t="n">
        <x:f>MOD(INT(G746)-1,Control!$B$7)+1</x:f>
        <x:v>18</x:v>
      </x:c>
      <x:c r="I746" s="73" t="n">
        <x:f>MIN(Control!$B$6,MAX(1,INT(MAX(0,G746)/Control!$B$7)+1))</x:f>
        <x:v>4</x:v>
      </x:c>
      <x:c r="J746" s="73" t="n">
        <x:f>INDEX(Drivers!$H$8:$H$13,B746)</x:f>
        <x:v>1</x:v>
      </x:c>
      <x:c r="K746" s="73" t="n">
        <x:f>IF(J746=1,INDEX(TrackMap!$I$8:$I$141,H746),INDEX(TrackMap!$L$8:$L$141,H746))</x:f>
        <x:v>2403</x:v>
      </x:c>
      <x:c r="L746" s="73" t="str">
        <x:f>INDEX(TrackMap!$F$8:$F$141,H746)</x:f>
        <x:v>↑</x:v>
      </x:c>
      <x:c r="M746" s="87" t="n">
        <x:f>MAX(0,G746/Control!$B$17)</x:f>
        <x:v>0.6269641862183709</x:v>
      </x:c>
      <x:c r="N746" s="73" t="n">
        <x:f>IF(N740&gt;0,N740,IF(G746&gt;=Control!$B$17,A746,0))</x:f>
        <x:v>0</x:v>
      </x:c>
      <x:c r="O746" s="91" t="n">
        <x:f>IF(N746&gt;0,Control!$B$17+Control!$B$8+1-N746,G746)-B746/100000</x:f>
        <x:v>420.06599476630856</x:v>
      </x:c>
      <x:c r="P746" s="73" t="n">
        <x:f>COUNTIF($O$746:$O$751,"&gt;"&amp;O746)+1</x:f>
        <x:v>4</x:v>
      </x:c>
      <x:c r="Q746" s="83" t="n">
        <x:f>MAX($G$746:$G$751)-G746</x:f>
        <x:v>11.82424075701897</x:v>
      </x:c>
      <x:c r="R746" s="73" t="str">
        <x:f>INDEX(TrackMap!$B$8:$B$141,H746)</x:f>
        <x:v>西侧回弯</x:v>
      </x:c>
    </x:row>
    <x:row r="747" ht="20" customHeight="1">
      <x:c r="A747" s="73" t="n">
        <x:v>123</x:v>
      </x:c>
      <x:c r="B747" s="73" t="n">
        <x:v>2</x:v>
      </x:c>
      <x:c r="C747" s="73" t="str">
        <x:f>INDEX(Drivers!$B$8:$B$13,B747)</x:f>
        <x:v>蓝电</x:v>
      </x:c>
      <x:c r="D747" s="83" t="n">
        <x:f>G741</x:f>
        <x:v>404.7129784487837</x:v>
      </x:c>
      <x:c r="E747" s="83" t="str">
        <x:f>IF(A747=0,"GRID",IF(D747&gt;=Control!$B$17,"FINISHED",IF(AND(A747&gt;=INDEX(Drivers!$G$8:$G$13,B747),A747&lt;INDEX(Drivers!$G$8:$G$13,B747)+INDEX(Drivers!$J$8:$J$13,B747)),"PIT",IF(MOD(A747+INDEX(Drivers!$F$8:$F$13,B747),Control!$B$11)&lt;Control!$B$13,"BOOST","RACE"))))</x:f>
        <x:v>RACE</x:v>
      </x:c>
      <x:c r="F747" s="83" t="n">
        <x:f>IF(OR(E747="GRID",E747="FINISHED",E747="PIT"),0,MAX(Control!$B$15,(INDEX(Drivers!$D$8:$D$13,B747)+INDEX(Drivers!$E$8:$E$13,B747)*SIN((A747+INDEX(Drivers!$F$8:$F$13,B747)+Control!$B$16)*Control!$B$14))*INDEX(TrackMap!$M$8:$M$141,MOD(INT(D747)-1,Control!$B$7)+1)*IF(E747="BOOST",Control!$B$12,1)))</x:f>
        <x:v>3.6560400302784086</x:v>
      </x:c>
      <x:c r="G747" s="83" t="n">
        <x:f>IF(A747=0,D747,MIN(Control!$B$17,D747+F747))</x:f>
        <x:v>408.3690184790621</x:v>
      </x:c>
      <x:c r="H747" s="73" t="n">
        <x:f>MOD(INT(G747)-1,Control!$B$7)+1</x:f>
        <x:v>6</x:v>
      </x:c>
      <x:c r="I747" s="73" t="n">
        <x:f>MIN(Control!$B$6,MAX(1,INT(MAX(0,G747)/Control!$B$7)+1))</x:f>
        <x:v>4</x:v>
      </x:c>
      <x:c r="J747" s="73" t="n">
        <x:f>INDEX(Drivers!$H$8:$H$13,B747)</x:f>
        <x:v>2</x:v>
      </x:c>
      <x:c r="K747" s="73" t="n">
        <x:f>IF(J747=1,INDEX(TrackMap!$I$8:$I$141,H747),INDEX(TrackMap!$L$8:$L$141,H747))</x:f>
        <x:v>3011</x:v>
      </x:c>
      <x:c r="L747" s="73" t="str">
        <x:f>INDEX(TrackMap!$F$8:$F$141,H747)</x:f>
        <x:v>←</x:v>
      </x:c>
      <x:c r="M747" s="87" t="n">
        <x:f>MAX(0,G747/Control!$B$17)</x:f>
        <x:v>0.6095059977299434</x:v>
      </x:c>
      <x:c r="N747" s="73" t="n">
        <x:f>IF(N741&gt;0,N741,IF(G747&gt;=Control!$B$17,A747,0))</x:f>
        <x:v>0</x:v>
      </x:c>
      <x:c r="O747" s="91" t="n">
        <x:f>IF(N747&gt;0,Control!$B$17+Control!$B$8+1-N747,G747)-B747/100000</x:f>
        <x:v>408.3689984790621</x:v>
      </x:c>
      <x:c r="P747" s="73" t="n">
        <x:f>COUNTIF($O$746:$O$751,"&gt;"&amp;O747)+1</x:f>
        <x:v>6</x:v>
      </x:c>
      <x:c r="Q747" s="83" t="n">
        <x:f>MAX($G$746:$G$751)-G747</x:f>
        <x:v>23.5212270442654</x:v>
      </x:c>
      <x:c r="R747" s="73" t="str">
        <x:f>INDEX(TrackMap!$B$8:$B$141,H747)</x:f>
        <x:v>发车大直道</x:v>
      </x:c>
    </x:row>
    <x:row r="748" ht="20" customHeight="1">
      <x:c r="A748" s="73" t="n">
        <x:v>123</x:v>
      </x:c>
      <x:c r="B748" s="73" t="n">
        <x:v>3</x:v>
      </x:c>
      <x:c r="C748" s="73" t="str">
        <x:f>INDEX(Drivers!$B$8:$B$13,B748)</x:f>
        <x:v>金翼</x:v>
      </x:c>
      <x:c r="D748" s="83" t="n">
        <x:f>G742</x:f>
        <x:v>429.24907058033466</x:v>
      </x:c>
      <x:c r="E748" s="83" t="str">
        <x:f>IF(A748=0,"GRID",IF(D748&gt;=Control!$B$17,"FINISHED",IF(AND(A748&gt;=INDEX(Drivers!$G$8:$G$13,B748),A748&lt;INDEX(Drivers!$G$8:$G$13,B748)+INDEX(Drivers!$J$8:$J$13,B748)),"PIT",IF(MOD(A748+INDEX(Drivers!$F$8:$F$13,B748),Control!$B$11)&lt;Control!$B$13,"BOOST","RACE"))))</x:f>
        <x:v>RACE</x:v>
      </x:c>
      <x:c r="F748" s="83" t="n">
        <x:f>IF(OR(E748="GRID",E748="FINISHED",E748="PIT"),0,MAX(Control!$B$15,(INDEX(Drivers!$D$8:$D$13,B748)+INDEX(Drivers!$E$8:$E$13,B748)*SIN((A748+INDEX(Drivers!$F$8:$F$13,B748)+Control!$B$16)*Control!$B$14))*INDEX(TrackMap!$M$8:$M$141,MOD(INT(D748)-1,Control!$B$7)+1)*IF(E748="BOOST",Control!$B$12,1)))</x:f>
        <x:v>2.6411749429928277</x:v>
      </x:c>
      <x:c r="G748" s="83" t="n">
        <x:f>IF(A748=0,D748,MIN(Control!$B$17,D748+F748))</x:f>
        <x:v>431.8902455233275</x:v>
      </x:c>
      <x:c r="H748" s="73" t="n">
        <x:f>MOD(INT(G748)-1,Control!$B$7)+1</x:f>
        <x:v>29</x:v>
      </x:c>
      <x:c r="I748" s="73" t="n">
        <x:f>MIN(Control!$B$6,MAX(1,INT(MAX(0,G748)/Control!$B$7)+1))</x:f>
        <x:v>4</x:v>
      </x:c>
      <x:c r="J748" s="73" t="n">
        <x:f>INDEX(Drivers!$H$8:$H$13,B748)</x:f>
        <x:v>1</x:v>
      </x:c>
      <x:c r="K748" s="73" t="n">
        <x:f>IF(J748=1,INDEX(TrackMap!$I$8:$I$141,H748),INDEX(TrackMap!$L$8:$L$141,H748))</x:f>
        <x:v>1610</x:v>
      </x:c>
      <x:c r="L748" s="73" t="str">
        <x:f>INDEX(TrackMap!$F$8:$F$141,H748)</x:f>
        <x:v>↑</x:v>
      </x:c>
      <x:c r="M748" s="87" t="n">
        <x:f>MAX(0,G748/Control!$B$17)</x:f>
        <x:v>0.644612306751235</x:v>
      </x:c>
      <x:c r="N748" s="73" t="n">
        <x:f>IF(N742&gt;0,N742,IF(G748&gt;=Control!$B$17,A748,0))</x:f>
        <x:v>0</x:v>
      </x:c>
      <x:c r="O748" s="91" t="n">
        <x:f>IF(N748&gt;0,Control!$B$17+Control!$B$8+1-N748,G748)-B748/100000</x:f>
        <x:v>431.8902155233275</x:v>
      </x:c>
      <x:c r="P748" s="73" t="n">
        <x:f>COUNTIF($O$746:$O$751,"&gt;"&amp;O748)+1</x:f>
        <x:v>1</x:v>
      </x:c>
      <x:c r="Q748" s="83" t="n">
        <x:f>MAX($G$746:$G$751)-G748</x:f>
        <x:v>0</x:v>
      </x:c>
      <x:c r="R748" s="73" t="str">
        <x:f>INDEX(TrackMap!$B$8:$B$141,H748)</x:f>
        <x:v>西侧上坡弯</x:v>
      </x:c>
    </x:row>
    <x:row r="749" ht="20" customHeight="1">
      <x:c r="A749" s="73" t="n">
        <x:v>123</x:v>
      </x:c>
      <x:c r="B749" s="73" t="n">
        <x:v>4</x:v>
      </x:c>
      <x:c r="C749" s="73" t="str">
        <x:f>INDEX(Drivers!$B$8:$B$13,B749)</x:f>
        <x:v>紫影</x:v>
      </x:c>
      <x:c r="D749" s="83" t="n">
        <x:f>G743</x:f>
        <x:v>406.9857527665975</x:v>
      </x:c>
      <x:c r="E749" s="83" t="str">
        <x:f>IF(A749=0,"GRID",IF(D749&gt;=Control!$B$17,"FINISHED",IF(AND(A749&gt;=INDEX(Drivers!$G$8:$G$13,B749),A749&lt;INDEX(Drivers!$G$8:$G$13,B749)+INDEX(Drivers!$J$8:$J$13,B749)),"PIT",IF(MOD(A749+INDEX(Drivers!$F$8:$F$13,B749),Control!$B$11)&lt;Control!$B$13,"BOOST","RACE"))))</x:f>
        <x:v>RACE</x:v>
      </x:c>
      <x:c r="F749" s="83" t="n">
        <x:f>IF(OR(E749="GRID",E749="FINISHED",E749="PIT"),0,MAX(Control!$B$15,(INDEX(Drivers!$D$8:$D$13,B749)+INDEX(Drivers!$E$8:$E$13,B749)*SIN((A749+INDEX(Drivers!$F$8:$F$13,B749)+Control!$B$16)*Control!$B$14))*INDEX(TrackMap!$M$8:$M$141,MOD(INT(D749)-1,Control!$B$7)+1)*IF(E749="BOOST",Control!$B$12,1)))</x:f>
        <x:v>4.146693970705571</x:v>
      </x:c>
      <x:c r="G749" s="83" t="n">
        <x:f>IF(A749=0,D749,MIN(Control!$B$17,D749+F749))</x:f>
        <x:v>411.1324467373031</x:v>
      </x:c>
      <x:c r="H749" s="73" t="n">
        <x:f>MOD(INT(G749)-1,Control!$B$7)+1</x:f>
        <x:v>9</x:v>
      </x:c>
      <x:c r="I749" s="73" t="n">
        <x:f>MIN(Control!$B$6,MAX(1,INT(MAX(0,G749)/Control!$B$7)+1))</x:f>
        <x:v>4</x:v>
      </x:c>
      <x:c r="J749" s="73" t="n">
        <x:f>INDEX(Drivers!$H$8:$H$13,B749)</x:f>
        <x:v>2</x:v>
      </x:c>
      <x:c r="K749" s="73" t="n">
        <x:f>IF(J749=1,INDEX(TrackMap!$I$8:$I$141,H749),INDEX(TrackMap!$L$8:$L$141,H749))</x:f>
        <x:v>3008</x:v>
      </x:c>
      <x:c r="L749" s="73" t="str">
        <x:f>INDEX(TrackMap!$F$8:$F$141,H749)</x:f>
        <x:v>←</x:v>
      </x:c>
      <x:c r="M749" s="87" t="n">
        <x:f>MAX(0,G749/Control!$B$17)</x:f>
        <x:v>0.6136305175183628</x:v>
      </x:c>
      <x:c r="N749" s="73" t="n">
        <x:f>IF(N743&gt;0,N743,IF(G749&gt;=Control!$B$17,A749,0))</x:f>
        <x:v>0</x:v>
      </x:c>
      <x:c r="O749" s="91" t="n">
        <x:f>IF(N749&gt;0,Control!$B$17+Control!$B$8+1-N749,G749)-B749/100000</x:f>
        <x:v>411.1324067373031</x:v>
      </x:c>
      <x:c r="P749" s="73" t="n">
        <x:f>COUNTIF($O$746:$O$751,"&gt;"&amp;O749)+1</x:f>
        <x:v>5</x:v>
      </x:c>
      <x:c r="Q749" s="83" t="n">
        <x:f>MAX($G$746:$G$751)-G749</x:f>
        <x:v>20.75779878602441</x:v>
      </x:c>
      <x:c r="R749" s="73" t="str">
        <x:f>INDEX(TrackMap!$B$8:$B$141,H749)</x:f>
        <x:v>发车大直道</x:v>
      </x:c>
    </x:row>
    <x:row r="750" ht="20" customHeight="1">
      <x:c r="A750" s="73" t="n">
        <x:v>123</x:v>
      </x:c>
      <x:c r="B750" s="73" t="n">
        <x:v>5</x:v>
      </x:c>
      <x:c r="C750" s="73" t="str">
        <x:f>INDEX(Drivers!$B$8:$B$13,B750)</x:f>
        <x:v>青锋</x:v>
      </x:c>
      <x:c r="D750" s="83" t="n">
        <x:f>G744</x:f>
        <x:v>425.23953631691234</x:v>
      </x:c>
      <x:c r="E750" s="83" t="str">
        <x:f>IF(A750=0,"GRID",IF(D750&gt;=Control!$B$17,"FINISHED",IF(AND(A750&gt;=INDEX(Drivers!$G$8:$G$13,B750),A750&lt;INDEX(Drivers!$G$8:$G$13,B750)+INDEX(Drivers!$J$8:$J$13,B750)),"PIT",IF(MOD(A750+INDEX(Drivers!$F$8:$F$13,B750),Control!$B$11)&lt;Control!$B$13,"BOOST","RACE"))))</x:f>
        <x:v>RACE</x:v>
      </x:c>
      <x:c r="F750" s="83" t="n">
        <x:f>IF(OR(E750="GRID",E750="FINISHED",E750="PIT"),0,MAX(Control!$B$15,(INDEX(Drivers!$D$8:$D$13,B750)+INDEX(Drivers!$E$8:$E$13,B750)*SIN((A750+INDEX(Drivers!$F$8:$F$13,B750)+Control!$B$16)*Control!$B$14))*INDEX(TrackMap!$M$8:$M$141,MOD(INT(D750)-1,Control!$B$7)+1)*IF(E750="BOOST",Control!$B$12,1)))</x:f>
        <x:v>4.12131158032137</x:v>
      </x:c>
      <x:c r="G750" s="83" t="n">
        <x:f>IF(A750=0,D750,MIN(Control!$B$17,D750+F750))</x:f>
        <x:v>429.3608478972337</x:v>
      </x:c>
      <x:c r="H750" s="73" t="n">
        <x:f>MOD(INT(G750)-1,Control!$B$7)+1</x:f>
        <x:v>27</x:v>
      </x:c>
      <x:c r="I750" s="73" t="n">
        <x:f>MIN(Control!$B$6,MAX(1,INT(MAX(0,G750)/Control!$B$7)+1))</x:f>
        <x:v>4</x:v>
      </x:c>
      <x:c r="J750" s="73" t="n">
        <x:f>INDEX(Drivers!$H$8:$H$13,B750)</x:f>
        <x:v>1</x:v>
      </x:c>
      <x:c r="K750" s="73" t="n">
        <x:f>IF(J750=1,INDEX(TrackMap!$I$8:$I$141,H750),INDEX(TrackMap!$L$8:$L$141,H750))</x:f>
        <x:v>1810</x:v>
      </x:c>
      <x:c r="L750" s="73" t="str">
        <x:f>INDEX(TrackMap!$F$8:$F$141,H750)</x:f>
        <x:v>↑</x:v>
      </x:c>
      <x:c r="M750" s="87" t="n">
        <x:f>MAX(0,G750/Control!$B$17)</x:f>
        <x:v>0.6408370864137817</x:v>
      </x:c>
      <x:c r="N750" s="73" t="n">
        <x:f>IF(N744&gt;0,N744,IF(G750&gt;=Control!$B$17,A750,0))</x:f>
        <x:v>0</x:v>
      </x:c>
      <x:c r="O750" s="91" t="n">
        <x:f>IF(N750&gt;0,Control!$B$17+Control!$B$8+1-N750,G750)-B750/100000</x:f>
        <x:v>429.36079789723374</x:v>
      </x:c>
      <x:c r="P750" s="73" t="n">
        <x:f>COUNTIF($O$746:$O$751,"&gt;"&amp;O750)+1</x:f>
        <x:v>2</x:v>
      </x:c>
      <x:c r="Q750" s="83" t="n">
        <x:f>MAX($G$746:$G$751)-G750</x:f>
        <x:v>2.5293976260937825</x:v>
      </x:c>
      <x:c r="R750" s="73" t="str">
        <x:f>INDEX(TrackMap!$B$8:$B$141,H750)</x:f>
        <x:v>西侧上坡弯</x:v>
      </x:c>
    </x:row>
    <x:row r="751" ht="20" customHeight="1">
      <x:c r="A751" s="73" t="n">
        <x:v>123</x:v>
      </x:c>
      <x:c r="B751" s="73" t="n">
        <x:v>6</x:v>
      </x:c>
      <x:c r="C751" s="73" t="str">
        <x:f>INDEX(Drivers!$B$8:$B$13,B751)</x:f>
        <x:v>玫速</x:v>
      </x:c>
      <x:c r="D751" s="83" t="n">
        <x:f>G745</x:f>
        <x:v>425.30623387407843</x:v>
      </x:c>
      <x:c r="E751" s="83" t="str">
        <x:f>IF(A751=0,"GRID",IF(D751&gt;=Control!$B$17,"FINISHED",IF(AND(A751&gt;=INDEX(Drivers!$G$8:$G$13,B751),A751&lt;INDEX(Drivers!$G$8:$G$13,B751)+INDEX(Drivers!$J$8:$J$13,B751)),"PIT",IF(MOD(A751+INDEX(Drivers!$F$8:$F$13,B751),Control!$B$11)&lt;Control!$B$13,"BOOST","RACE"))))</x:f>
        <x:v>RACE</x:v>
      </x:c>
      <x:c r="F751" s="83" t="n">
        <x:f>IF(OR(E751="GRID",E751="FINISHED",E751="PIT"),0,MAX(Control!$B$15,(INDEX(Drivers!$D$8:$D$13,B751)+INDEX(Drivers!$E$8:$E$13,B751)*SIN((A751+INDEX(Drivers!$F$8:$F$13,B751)+Control!$B$16)*Control!$B$14))*INDEX(TrackMap!$M$8:$M$141,MOD(INT(D751)-1,Control!$B$7)+1)*IF(E751="BOOST",Control!$B$12,1)))</x:f>
        <x:v>3.0941841478905316</x:v>
      </x:c>
      <x:c r="G751" s="83" t="n">
        <x:f>IF(A751=0,D751,MIN(Control!$B$17,D751+F751))</x:f>
        <x:v>428.40041802196896</x:v>
      </x:c>
      <x:c r="H751" s="73" t="n">
        <x:f>MOD(INT(G751)-1,Control!$B$7)+1</x:f>
        <x:v>26</x:v>
      </x:c>
      <x:c r="I751" s="73" t="n">
        <x:f>MIN(Control!$B$6,MAX(1,INT(MAX(0,G751)/Control!$B$7)+1))</x:f>
        <x:v>4</x:v>
      </x:c>
      <x:c r="J751" s="73" t="n">
        <x:f>INDEX(Drivers!$H$8:$H$13,B751)</x:f>
        <x:v>2</x:v>
      </x:c>
      <x:c r="K751" s="73" t="n">
        <x:f>IF(J751=1,INDEX(TrackMap!$I$8:$I$141,H751),INDEX(TrackMap!$L$8:$L$141,H751))</x:f>
        <x:v>1911</x:v>
      </x:c>
      <x:c r="L751" s="73" t="str">
        <x:f>INDEX(TrackMap!$F$8:$F$141,H751)</x:f>
        <x:v>↑</x:v>
      </x:c>
      <x:c r="M751" s="87" t="n">
        <x:f>MAX(0,G751/Control!$B$17)</x:f>
        <x:v>0.6394036089880134</x:v>
      </x:c>
      <x:c r="N751" s="73" t="n">
        <x:f>IF(N745&gt;0,N745,IF(G751&gt;=Control!$B$17,A751,0))</x:f>
        <x:v>0</x:v>
      </x:c>
      <x:c r="O751" s="91" t="n">
        <x:f>IF(N751&gt;0,Control!$B$17+Control!$B$8+1-N751,G751)-B751/100000</x:f>
        <x:v>428.40035802196894</x:v>
      </x:c>
      <x:c r="P751" s="73" t="n">
        <x:f>COUNTIF($O$746:$O$751,"&gt;"&amp;O751)+1</x:f>
        <x:v>3</x:v>
      </x:c>
      <x:c r="Q751" s="83" t="n">
        <x:f>MAX($G$746:$G$751)-G751</x:f>
        <x:v>3.4898275013585476</x:v>
      </x:c>
      <x:c r="R751" s="73" t="str">
        <x:f>INDEX(TrackMap!$B$8:$B$141,H751)</x:f>
        <x:v>西侧上坡弯</x:v>
      </x:c>
    </x:row>
    <x:row r="752" ht="20" customHeight="1">
      <x:c r="A752" s="73" t="n">
        <x:v>124</x:v>
      </x:c>
      <x:c r="B752" s="73" t="n">
        <x:v>1</x:v>
      </x:c>
      <x:c r="C752" s="73" t="str">
        <x:f>INDEX(Drivers!$B$8:$B$13,B752)</x:f>
        <x:v>赤焰</x:v>
      </x:c>
      <x:c r="D752" s="83" t="n">
        <x:f>G746</x:f>
        <x:v>420.06600476630854</x:v>
      </x:c>
      <x:c r="E752" s="83" t="str">
        <x:f>IF(A752=0,"GRID",IF(D752&gt;=Control!$B$17,"FINISHED",IF(AND(A752&gt;=INDEX(Drivers!$G$8:$G$13,B752),A752&lt;INDEX(Drivers!$G$8:$G$13,B752)+INDEX(Drivers!$J$8:$J$13,B752)),"PIT",IF(MOD(A752+INDEX(Drivers!$F$8:$F$13,B752),Control!$B$11)&lt;Control!$B$13,"BOOST","RACE"))))</x:f>
        <x:v>BOOST</x:v>
      </x:c>
      <x:c r="F752" s="83" t="n">
        <x:f>IF(OR(E752="GRID",E752="FINISHED",E752="PIT"),0,MAX(Control!$B$15,(INDEX(Drivers!$D$8:$D$13,B752)+INDEX(Drivers!$E$8:$E$13,B752)*SIN((A752+INDEX(Drivers!$F$8:$F$13,B752)+Control!$B$16)*Control!$B$14))*INDEX(TrackMap!$M$8:$M$141,MOD(INT(D752)-1,Control!$B$7)+1)*IF(E752="BOOST",Control!$B$12,1)))</x:f>
        <x:v>4.256688388464098</x:v>
      </x:c>
      <x:c r="G752" s="83" t="n">
        <x:f>IF(A752=0,D752,MIN(Control!$B$17,D752+F752))</x:f>
        <x:v>424.32269315477265</x:v>
      </x:c>
      <x:c r="H752" s="73" t="n">
        <x:f>MOD(INT(G752)-1,Control!$B$7)+1</x:f>
        <x:v>22</x:v>
      </x:c>
      <x:c r="I752" s="73" t="n">
        <x:f>MIN(Control!$B$6,MAX(1,INT(MAX(0,G752)/Control!$B$7)+1))</x:f>
        <x:v>4</x:v>
      </x:c>
      <x:c r="J752" s="73" t="n">
        <x:f>INDEX(Drivers!$H$8:$H$13,B752)</x:f>
        <x:v>1</x:v>
      </x:c>
      <x:c r="K752" s="73" t="n">
        <x:f>IF(J752=1,INDEX(TrackMap!$I$8:$I$141,H752),INDEX(TrackMap!$L$8:$L$141,H752))</x:f>
        <x:v>2207</x:v>
      </x:c>
      <x:c r="L752" s="73" t="str">
        <x:f>INDEX(TrackMap!$F$8:$F$141,H752)</x:f>
        <x:v>→</x:v>
      </x:c>
      <x:c r="M752" s="87" t="n">
        <x:f>MAX(0,G752/Control!$B$17)</x:f>
        <x:v>0.63331745246981</x:v>
      </x:c>
      <x:c r="N752" s="73" t="n">
        <x:f>IF(N746&gt;0,N746,IF(G752&gt;=Control!$B$17,A752,0))</x:f>
        <x:v>0</x:v>
      </x:c>
      <x:c r="O752" s="91" t="n">
        <x:f>IF(N752&gt;0,Control!$B$17+Control!$B$8+1-N752,G752)-B752/100000</x:f>
        <x:v>424.3226831547727</x:v>
      </x:c>
      <x:c r="P752" s="73" t="n">
        <x:f>COUNTIF($O$752:$O$757,"&gt;"&amp;O752)+1</x:f>
        <x:v>4</x:v>
      </x:c>
      <x:c r="Q752" s="83" t="n">
        <x:f>MAX($G$752:$G$757)-G752</x:f>
        <x:v>11.115657551743311</x:v>
      </x:c>
      <x:c r="R752" s="73" t="str">
        <x:f>INDEX(TrackMap!$B$8:$B$141,H752)</x:f>
        <x:v>短直道</x:v>
      </x:c>
    </x:row>
    <x:row r="753" ht="20" customHeight="1">
      <x:c r="A753" s="73" t="n">
        <x:v>124</x:v>
      </x:c>
      <x:c r="B753" s="73" t="n">
        <x:v>2</x:v>
      </x:c>
      <x:c r="C753" s="73" t="str">
        <x:f>INDEX(Drivers!$B$8:$B$13,B753)</x:f>
        <x:v>蓝电</x:v>
      </x:c>
      <x:c r="D753" s="83" t="n">
        <x:f>G747</x:f>
        <x:v>408.3690184790621</x:v>
      </x:c>
      <x:c r="E753" s="83" t="str">
        <x:f>IF(A753=0,"GRID",IF(D753&gt;=Control!$B$17,"FINISHED",IF(AND(A753&gt;=INDEX(Drivers!$G$8:$G$13,B753),A753&lt;INDEX(Drivers!$G$8:$G$13,B753)+INDEX(Drivers!$J$8:$J$13,B753)),"PIT",IF(MOD(A753+INDEX(Drivers!$F$8:$F$13,B753),Control!$B$11)&lt;Control!$B$13,"BOOST","RACE"))))</x:f>
        <x:v>RACE</x:v>
      </x:c>
      <x:c r="F753" s="83" t="n">
        <x:f>IF(OR(E753="GRID",E753="FINISHED",E753="PIT"),0,MAX(Control!$B$15,(INDEX(Drivers!$D$8:$D$13,B753)+INDEX(Drivers!$E$8:$E$13,B753)*SIN((A753+INDEX(Drivers!$F$8:$F$13,B753)+Control!$B$16)*Control!$B$14))*INDEX(TrackMap!$M$8:$M$141,MOD(INT(D753)-1,Control!$B$7)+1)*IF(E753="BOOST",Control!$B$12,1)))</x:f>
        <x:v>3.435674403196524</x:v>
      </x:c>
      <x:c r="G753" s="83" t="n">
        <x:f>IF(A753=0,D753,MIN(Control!$B$17,D753+F753))</x:f>
        <x:v>411.8046928822586</x:v>
      </x:c>
      <x:c r="H753" s="73" t="n">
        <x:f>MOD(INT(G753)-1,Control!$B$7)+1</x:f>
        <x:v>9</x:v>
      </x:c>
      <x:c r="I753" s="73" t="n">
        <x:f>MIN(Control!$B$6,MAX(1,INT(MAX(0,G753)/Control!$B$7)+1))</x:f>
        <x:v>4</x:v>
      </x:c>
      <x:c r="J753" s="73" t="n">
        <x:f>INDEX(Drivers!$H$8:$H$13,B753)</x:f>
        <x:v>2</x:v>
      </x:c>
      <x:c r="K753" s="73" t="n">
        <x:f>IF(J753=1,INDEX(TrackMap!$I$8:$I$141,H753),INDEX(TrackMap!$L$8:$L$141,H753))</x:f>
        <x:v>3008</x:v>
      </x:c>
      <x:c r="L753" s="73" t="str">
        <x:f>INDEX(TrackMap!$F$8:$F$141,H753)</x:f>
        <x:v>←</x:v>
      </x:c>
      <x:c r="M753" s="87" t="n">
        <x:f>MAX(0,G753/Control!$B$17)</x:f>
        <x:v>0.6146338699735203</x:v>
      </x:c>
      <x:c r="N753" s="73" t="n">
        <x:f>IF(N747&gt;0,N747,IF(G753&gt;=Control!$B$17,A753,0))</x:f>
        <x:v>0</x:v>
      </x:c>
      <x:c r="O753" s="91" t="n">
        <x:f>IF(N753&gt;0,Control!$B$17+Control!$B$8+1-N753,G753)-B753/100000</x:f>
        <x:v>411.8046728822586</x:v>
      </x:c>
      <x:c r="P753" s="73" t="n">
        <x:f>COUNTIF($O$752:$O$757,"&gt;"&amp;O753)+1</x:f>
        <x:v>6</x:v>
      </x:c>
      <x:c r="Q753" s="83" t="n">
        <x:f>MAX($G$752:$G$757)-G753</x:f>
        <x:v>23.63365782425734</x:v>
      </x:c>
      <x:c r="R753" s="73" t="str">
        <x:f>INDEX(TrackMap!$B$8:$B$141,H753)</x:f>
        <x:v>发车大直道</x:v>
      </x:c>
    </x:row>
    <x:row r="754" ht="20" customHeight="1">
      <x:c r="A754" s="73" t="n">
        <x:v>124</x:v>
      </x:c>
      <x:c r="B754" s="73" t="n">
        <x:v>3</x:v>
      </x:c>
      <x:c r="C754" s="73" t="str">
        <x:f>INDEX(Drivers!$B$8:$B$13,B754)</x:f>
        <x:v>金翼</x:v>
      </x:c>
      <x:c r="D754" s="83" t="n">
        <x:f>G748</x:f>
        <x:v>431.8902455233275</x:v>
      </x:c>
      <x:c r="E754" s="83" t="str">
        <x:f>IF(A754=0,"GRID",IF(D754&gt;=Control!$B$17,"FINISHED",IF(AND(A754&gt;=INDEX(Drivers!$G$8:$G$13,B754),A754&lt;INDEX(Drivers!$G$8:$G$13,B754)+INDEX(Drivers!$J$8:$J$13,B754)),"PIT",IF(MOD(A754+INDEX(Drivers!$F$8:$F$13,B754),Control!$B$11)&lt;Control!$B$13,"BOOST","RACE"))))</x:f>
        <x:v>RACE</x:v>
      </x:c>
      <x:c r="F754" s="83" t="n">
        <x:f>IF(OR(E754="GRID",E754="FINISHED",E754="PIT"),0,MAX(Control!$B$15,(INDEX(Drivers!$D$8:$D$13,B754)+INDEX(Drivers!$E$8:$E$13,B754)*SIN((A754+INDEX(Drivers!$F$8:$F$13,B754)+Control!$B$16)*Control!$B$14))*INDEX(TrackMap!$M$8:$M$141,MOD(INT(D754)-1,Control!$B$7)+1)*IF(E754="BOOST",Control!$B$12,1)))</x:f>
        <x:v>3.548105183188478</x:v>
      </x:c>
      <x:c r="G754" s="83" t="n">
        <x:f>IF(A754=0,D754,MIN(Control!$B$17,D754+F754))</x:f>
        <x:v>435.43835070651596</x:v>
      </x:c>
      <x:c r="H754" s="73" t="n">
        <x:f>MOD(INT(G754)-1,Control!$B$7)+1</x:f>
        <x:v>33</x:v>
      </x:c>
      <x:c r="I754" s="73" t="n">
        <x:f>MIN(Control!$B$6,MAX(1,INT(MAX(0,G754)/Control!$B$7)+1))</x:f>
        <x:v>4</x:v>
      </x:c>
      <x:c r="J754" s="73" t="n">
        <x:f>INDEX(Drivers!$H$8:$H$13,B754)</x:f>
        <x:v>1</x:v>
      </x:c>
      <x:c r="K754" s="73" t="n">
        <x:f>IF(J754=1,INDEX(TrackMap!$I$8:$I$141,H754),INDEX(TrackMap!$L$8:$L$141,H754))</x:f>
        <x:v>1210</x:v>
      </x:c>
      <x:c r="L754" s="73" t="str">
        <x:f>INDEX(TrackMap!$F$8:$F$141,H754)</x:f>
        <x:v>↑</x:v>
      </x:c>
      <x:c r="M754" s="87" t="n">
        <x:f>MAX(0,G754/Control!$B$17)</x:f>
        <x:v>0.6499079861291283</x:v>
      </x:c>
      <x:c r="N754" s="73" t="n">
        <x:f>IF(N748&gt;0,N748,IF(G754&gt;=Control!$B$17,A754,0))</x:f>
        <x:v>0</x:v>
      </x:c>
      <x:c r="O754" s="91" t="n">
        <x:f>IF(N754&gt;0,Control!$B$17+Control!$B$8+1-N754,G754)-B754/100000</x:f>
        <x:v>435.438320706516</x:v>
      </x:c>
      <x:c r="P754" s="73" t="n">
        <x:f>COUNTIF($O$752:$O$757,"&gt;"&amp;O754)+1</x:f>
        <x:v>1</x:v>
      </x:c>
      <x:c r="Q754" s="83" t="n">
        <x:f>MAX($G$752:$G$757)-G754</x:f>
        <x:v>0</x:v>
      </x:c>
      <x:c r="R754" s="73" t="str">
        <x:f>INDEX(TrackMap!$B$8:$B$141,H754)</x:f>
        <x:v>西侧上坡弯</x:v>
      </x:c>
    </x:row>
    <x:row r="755" ht="20" customHeight="1">
      <x:c r="A755" s="73" t="n">
        <x:v>124</x:v>
      </x:c>
      <x:c r="B755" s="73" t="n">
        <x:v>4</x:v>
      </x:c>
      <x:c r="C755" s="73" t="str">
        <x:f>INDEX(Drivers!$B$8:$B$13,B755)</x:f>
        <x:v>紫影</x:v>
      </x:c>
      <x:c r="D755" s="83" t="n">
        <x:f>G749</x:f>
        <x:v>411.1324467373031</x:v>
      </x:c>
      <x:c r="E755" s="83" t="str">
        <x:f>IF(A755=0,"GRID",IF(D755&gt;=Control!$B$17,"FINISHED",IF(AND(A755&gt;=INDEX(Drivers!$G$8:$G$13,B755),A755&lt;INDEX(Drivers!$G$8:$G$13,B755)+INDEX(Drivers!$J$8:$J$13,B755)),"PIT",IF(MOD(A755+INDEX(Drivers!$F$8:$F$13,B755),Control!$B$11)&lt;Control!$B$13,"BOOST","RACE"))))</x:f>
        <x:v>RACE</x:v>
      </x:c>
      <x:c r="F755" s="83" t="n">
        <x:f>IF(OR(E755="GRID",E755="FINISHED",E755="PIT"),0,MAX(Control!$B$15,(INDEX(Drivers!$D$8:$D$13,B755)+INDEX(Drivers!$E$8:$E$13,B755)*SIN((A755+INDEX(Drivers!$F$8:$F$13,B755)+Control!$B$16)*Control!$B$14))*INDEX(TrackMap!$M$8:$M$141,MOD(INT(D755)-1,Control!$B$7)+1)*IF(E755="BOOST",Control!$B$12,1)))</x:f>
        <x:v>4.039647217398689</x:v>
      </x:c>
      <x:c r="G755" s="83" t="n">
        <x:f>IF(A755=0,D755,MIN(Control!$B$17,D755+F755))</x:f>
        <x:v>415.1720939547018</x:v>
      </x:c>
      <x:c r="H755" s="73" t="n">
        <x:f>MOD(INT(G755)-1,Control!$B$7)+1</x:f>
        <x:v>13</x:v>
      </x:c>
      <x:c r="I755" s="73" t="n">
        <x:f>MIN(Control!$B$6,MAX(1,INT(MAX(0,G755)/Control!$B$7)+1))</x:f>
        <x:v>4</x:v>
      </x:c>
      <x:c r="J755" s="73" t="n">
        <x:f>INDEX(Drivers!$H$8:$H$13,B755)</x:f>
        <x:v>2</x:v>
      </x:c>
      <x:c r="K755" s="73" t="n">
        <x:f>IF(J755=1,INDEX(TrackMap!$I$8:$I$141,H755),INDEX(TrackMap!$L$8:$L$141,H755))</x:f>
        <x:v>2904</x:v>
      </x:c>
      <x:c r="L755" s="73" t="str">
        <x:f>INDEX(TrackMap!$F$8:$F$141,H755)</x:f>
        <x:v>↑</x:v>
      </x:c>
      <x:c r="M755" s="87" t="n">
        <x:f>MAX(0,G755/Control!$B$17)</x:f>
        <x:v>0.6196598417234355</x:v>
      </x:c>
      <x:c r="N755" s="73" t="n">
        <x:f>IF(N749&gt;0,N749,IF(G755&gt;=Control!$B$17,A755,0))</x:f>
        <x:v>0</x:v>
      </x:c>
      <x:c r="O755" s="91" t="n">
        <x:f>IF(N755&gt;0,Control!$B$17+Control!$B$8+1-N755,G755)-B755/100000</x:f>
        <x:v>415.17205395470177</x:v>
      </x:c>
      <x:c r="P755" s="73" t="n">
        <x:f>COUNTIF($O$752:$O$757,"&gt;"&amp;O755)+1</x:f>
        <x:v>5</x:v>
      </x:c>
      <x:c r="Q755" s="83" t="n">
        <x:f>MAX($G$752:$G$757)-G755</x:f>
        <x:v>20.266256751814183</x:v>
      </x:c>
      <x:c r="R755" s="73" t="str">
        <x:f>INDEX(TrackMap!$B$8:$B$141,H755)</x:f>
        <x:v>西侧回弯</x:v>
      </x:c>
    </x:row>
    <x:row r="756" ht="20" customHeight="1">
      <x:c r="A756" s="73" t="n">
        <x:v>124</x:v>
      </x:c>
      <x:c r="B756" s="73" t="n">
        <x:v>5</x:v>
      </x:c>
      <x:c r="C756" s="73" t="str">
        <x:f>INDEX(Drivers!$B$8:$B$13,B756)</x:f>
        <x:v>青锋</x:v>
      </x:c>
      <x:c r="D756" s="83" t="n">
        <x:f>G750</x:f>
        <x:v>429.3608478972337</x:v>
      </x:c>
      <x:c r="E756" s="83" t="str">
        <x:f>IF(A756=0,"GRID",IF(D756&gt;=Control!$B$17,"FINISHED",IF(AND(A756&gt;=INDEX(Drivers!$G$8:$G$13,B756),A756&lt;INDEX(Drivers!$G$8:$G$13,B756)+INDEX(Drivers!$J$8:$J$13,B756)),"PIT",IF(MOD(A756+INDEX(Drivers!$F$8:$F$13,B756),Control!$B$11)&lt;Control!$B$13,"BOOST","RACE"))))</x:f>
        <x:v>RACE</x:v>
      </x:c>
      <x:c r="F756" s="83" t="n">
        <x:f>IF(OR(E756="GRID",E756="FINISHED",E756="PIT"),0,MAX(Control!$B$15,(INDEX(Drivers!$D$8:$D$13,B756)+INDEX(Drivers!$E$8:$E$13,B756)*SIN((A756+INDEX(Drivers!$F$8:$F$13,B756)+Control!$B$16)*Control!$B$14))*INDEX(TrackMap!$M$8:$M$141,MOD(INT(D756)-1,Control!$B$7)+1)*IF(E756="BOOST",Control!$B$12,1)))</x:f>
        <x:v>3.1406455115964063</x:v>
      </x:c>
      <x:c r="G756" s="83" t="n">
        <x:f>IF(A756=0,D756,MIN(Control!$B$17,D756+F756))</x:f>
        <x:v>432.50149340883013</x:v>
      </x:c>
      <x:c r="H756" s="73" t="n">
        <x:f>MOD(INT(G756)-1,Control!$B$7)+1</x:f>
        <x:v>30</x:v>
      </x:c>
      <x:c r="I756" s="73" t="n">
        <x:f>MIN(Control!$B$6,MAX(1,INT(MAX(0,G756)/Control!$B$7)+1))</x:f>
        <x:v>4</x:v>
      </x:c>
      <x:c r="J756" s="73" t="n">
        <x:f>INDEX(Drivers!$H$8:$H$13,B756)</x:f>
        <x:v>1</x:v>
      </x:c>
      <x:c r="K756" s="73" t="n">
        <x:f>IF(J756=1,INDEX(TrackMap!$I$8:$I$141,H756),INDEX(TrackMap!$L$8:$L$141,H756))</x:f>
        <x:v>1510</x:v>
      </x:c>
      <x:c r="L756" s="73" t="str">
        <x:f>INDEX(TrackMap!$F$8:$F$141,H756)</x:f>
        <x:v>↑</x:v>
      </x:c>
      <x:c r="M756" s="87" t="n">
        <x:f>MAX(0,G756/Control!$B$17)</x:f>
        <x:v>0.6455246170281047</x:v>
      </x:c>
      <x:c r="N756" s="73" t="n">
        <x:f>IF(N750&gt;0,N750,IF(G756&gt;=Control!$B$17,A756,0))</x:f>
        <x:v>0</x:v>
      </x:c>
      <x:c r="O756" s="91" t="n">
        <x:f>IF(N756&gt;0,Control!$B$17+Control!$B$8+1-N756,G756)-B756/100000</x:f>
        <x:v>432.50144340883014</x:v>
      </x:c>
      <x:c r="P756" s="73" t="n">
        <x:f>COUNTIF($O$752:$O$757,"&gt;"&amp;O756)+1</x:f>
        <x:v>2</x:v>
      </x:c>
      <x:c r="Q756" s="83" t="n">
        <x:f>MAX($G$752:$G$757)-G756</x:f>
        <x:v>2.936857297685833</x:v>
      </x:c>
      <x:c r="R756" s="73" t="str">
        <x:f>INDEX(TrackMap!$B$8:$B$141,H756)</x:f>
        <x:v>西侧上坡弯</x:v>
      </x:c>
    </x:row>
    <x:row r="757" ht="20" customHeight="1">
      <x:c r="A757" s="73" t="n">
        <x:v>124</x:v>
      </x:c>
      <x:c r="B757" s="73" t="n">
        <x:v>6</x:v>
      </x:c>
      <x:c r="C757" s="73" t="str">
        <x:f>INDEX(Drivers!$B$8:$B$13,B757)</x:f>
        <x:v>玫速</x:v>
      </x:c>
      <x:c r="D757" s="83" t="n">
        <x:f>G751</x:f>
        <x:v>428.40041802196896</x:v>
      </x:c>
      <x:c r="E757" s="83" t="str">
        <x:f>IF(A757=0,"GRID",IF(D757&gt;=Control!$B$17,"FINISHED",IF(AND(A757&gt;=INDEX(Drivers!$G$8:$G$13,B757),A757&lt;INDEX(Drivers!$G$8:$G$13,B757)+INDEX(Drivers!$J$8:$J$13,B757)),"PIT",IF(MOD(A757+INDEX(Drivers!$F$8:$F$13,B757),Control!$B$11)&lt;Control!$B$13,"BOOST","RACE"))))</x:f>
        <x:v>RACE</x:v>
      </x:c>
      <x:c r="F757" s="83" t="n">
        <x:f>IF(OR(E757="GRID",E757="FINISHED",E757="PIT"),0,MAX(Control!$B$15,(INDEX(Drivers!$D$8:$D$13,B757)+INDEX(Drivers!$E$8:$E$13,B757)*SIN((A757+INDEX(Drivers!$F$8:$F$13,B757)+Control!$B$16)*Control!$B$14))*INDEX(TrackMap!$M$8:$M$141,MOD(INT(D757)-1,Control!$B$7)+1)*IF(E757="BOOST",Control!$B$12,1)))</x:f>
        <x:v>2.4078050490610017</x:v>
      </x:c>
      <x:c r="G757" s="83" t="n">
        <x:f>IF(A757=0,D757,MIN(Control!$B$17,D757+F757))</x:f>
        <x:v>430.80822307102994</x:v>
      </x:c>
      <x:c r="H757" s="73" t="n">
        <x:f>MOD(INT(G757)-1,Control!$B$7)+1</x:f>
        <x:v>28</x:v>
      </x:c>
      <x:c r="I757" s="73" t="n">
        <x:f>MIN(Control!$B$6,MAX(1,INT(MAX(0,G757)/Control!$B$7)+1))</x:f>
        <x:v>4</x:v>
      </x:c>
      <x:c r="J757" s="73" t="n">
        <x:f>INDEX(Drivers!$H$8:$H$13,B757)</x:f>
        <x:v>2</x:v>
      </x:c>
      <x:c r="K757" s="73" t="n">
        <x:f>IF(J757=1,INDEX(TrackMap!$I$8:$I$141,H757),INDEX(TrackMap!$L$8:$L$141,H757))</x:f>
        <x:v>1711</x:v>
      </x:c>
      <x:c r="L757" s="73" t="str">
        <x:f>INDEX(TrackMap!$F$8:$F$141,H757)</x:f>
        <x:v>↑</x:v>
      </x:c>
      <x:c r="M757" s="87" t="n">
        <x:f>MAX(0,G757/Control!$B$17)</x:f>
        <x:v>0.6429973478672089</x:v>
      </x:c>
      <x:c r="N757" s="73" t="n">
        <x:f>IF(N751&gt;0,N751,IF(G757&gt;=Control!$B$17,A757,0))</x:f>
        <x:v>0</x:v>
      </x:c>
      <x:c r="O757" s="91" t="n">
        <x:f>IF(N757&gt;0,Control!$B$17+Control!$B$8+1-N757,G757)-B757/100000</x:f>
        <x:v>430.8081630710299</x:v>
      </x:c>
      <x:c r="P757" s="73" t="n">
        <x:f>COUNTIF($O$752:$O$757,"&gt;"&amp;O757)+1</x:f>
        <x:v>3</x:v>
      </x:c>
      <x:c r="Q757" s="83" t="n">
        <x:f>MAX($G$752:$G$757)-G757</x:f>
        <x:v>4.630127635486019</x:v>
      </x:c>
      <x:c r="R757" s="73" t="str">
        <x:f>INDEX(TrackMap!$B$8:$B$141,H757)</x:f>
        <x:v>西侧上坡弯</x:v>
      </x:c>
    </x:row>
    <x:row r="758" ht="20" customHeight="1">
      <x:c r="A758" s="73" t="n">
        <x:v>125</x:v>
      </x:c>
      <x:c r="B758" s="73" t="n">
        <x:v>1</x:v>
      </x:c>
      <x:c r="C758" s="73" t="str">
        <x:f>INDEX(Drivers!$B$8:$B$13,B758)</x:f>
        <x:v>赤焰</x:v>
      </x:c>
      <x:c r="D758" s="83" t="n">
        <x:f>G752</x:f>
        <x:v>424.32269315477265</x:v>
      </x:c>
      <x:c r="E758" s="83" t="str">
        <x:f>IF(A758=0,"GRID",IF(D758&gt;=Control!$B$17,"FINISHED",IF(AND(A758&gt;=INDEX(Drivers!$G$8:$G$13,B758),A758&lt;INDEX(Drivers!$G$8:$G$13,B758)+INDEX(Drivers!$J$8:$J$13,B758)),"PIT",IF(MOD(A758+INDEX(Drivers!$F$8:$F$13,B758),Control!$B$11)&lt;Control!$B$13,"BOOST","RACE"))))</x:f>
        <x:v>BOOST</x:v>
      </x:c>
      <x:c r="F758" s="83" t="n">
        <x:f>IF(OR(E758="GRID",E758="FINISHED",E758="PIT"),0,MAX(Control!$B$15,(INDEX(Drivers!$D$8:$D$13,B758)+INDEX(Drivers!$E$8:$E$13,B758)*SIN((A758+INDEX(Drivers!$F$8:$F$13,B758)+Control!$B$16)*Control!$B$14))*INDEX(TrackMap!$M$8:$M$141,MOD(INT(D758)-1,Control!$B$7)+1)*IF(E758="BOOST",Control!$B$12,1)))</x:f>
        <x:v>5.609558852263619</x:v>
      </x:c>
      <x:c r="G758" s="83" t="n">
        <x:f>IF(A758=0,D758,MIN(Control!$B$17,D758+F758))</x:f>
        <x:v>429.93225200703625</x:v>
      </x:c>
      <x:c r="H758" s="73" t="n">
        <x:f>MOD(INT(G758)-1,Control!$B$7)+1</x:f>
        <x:v>27</x:v>
      </x:c>
      <x:c r="I758" s="73" t="n">
        <x:f>MIN(Control!$B$6,MAX(1,INT(MAX(0,G758)/Control!$B$7)+1))</x:f>
        <x:v>4</x:v>
      </x:c>
      <x:c r="J758" s="73" t="n">
        <x:f>INDEX(Drivers!$H$8:$H$13,B758)</x:f>
        <x:v>1</x:v>
      </x:c>
      <x:c r="K758" s="73" t="n">
        <x:f>IF(J758=1,INDEX(TrackMap!$I$8:$I$141,H758),INDEX(TrackMap!$L$8:$L$141,H758))</x:f>
        <x:v>1810</x:v>
      </x:c>
      <x:c r="L758" s="73" t="str">
        <x:f>INDEX(TrackMap!$F$8:$F$141,H758)</x:f>
        <x:v>↑</x:v>
      </x:c>
      <x:c r="M758" s="87" t="n">
        <x:f>MAX(0,G758/Control!$B$17)</x:f>
        <x:v>0.6416899283687109</x:v>
      </x:c>
      <x:c r="N758" s="73" t="n">
        <x:f>IF(N752&gt;0,N752,IF(G758&gt;=Control!$B$17,A758,0))</x:f>
        <x:v>0</x:v>
      </x:c>
      <x:c r="O758" s="91" t="n">
        <x:f>IF(N758&gt;0,Control!$B$17+Control!$B$8+1-N758,G758)-B758/100000</x:f>
        <x:v>429.9322420070363</x:v>
      </x:c>
      <x:c r="P758" s="73" t="n">
        <x:f>COUNTIF($O$758:$O$763,"&gt;"&amp;O758)+1</x:f>
        <x:v>4</x:v>
      </x:c>
      <x:c r="Q758" s="83" t="n">
        <x:f>MAX($G$758:$G$763)-G758</x:f>
        <x:v>6.447206864978284</x:v>
      </x:c>
      <x:c r="R758" s="73" t="str">
        <x:f>INDEX(TrackMap!$B$8:$B$141,H758)</x:f>
        <x:v>西侧上坡弯</x:v>
      </x:c>
    </x:row>
    <x:row r="759" ht="20" customHeight="1">
      <x:c r="A759" s="73" t="n">
        <x:v>125</x:v>
      </x:c>
      <x:c r="B759" s="73" t="n">
        <x:v>2</x:v>
      </x:c>
      <x:c r="C759" s="73" t="str">
        <x:f>INDEX(Drivers!$B$8:$B$13,B759)</x:f>
        <x:v>蓝电</x:v>
      </x:c>
      <x:c r="D759" s="83" t="n">
        <x:f>G753</x:f>
        <x:v>411.8046928822586</x:v>
      </x:c>
      <x:c r="E759" s="83" t="str">
        <x:f>IF(A759=0,"GRID",IF(D759&gt;=Control!$B$17,"FINISHED",IF(AND(A759&gt;=INDEX(Drivers!$G$8:$G$13,B759),A759&lt;INDEX(Drivers!$G$8:$G$13,B759)+INDEX(Drivers!$J$8:$J$13,B759)),"PIT",IF(MOD(A759+INDEX(Drivers!$F$8:$F$13,B759),Control!$B$11)&lt;Control!$B$13,"BOOST","RACE"))))</x:f>
        <x:v>RACE</x:v>
      </x:c>
      <x:c r="F759" s="83" t="n">
        <x:f>IF(OR(E759="GRID",E759="FINISHED",E759="PIT"),0,MAX(Control!$B$15,(INDEX(Drivers!$D$8:$D$13,B759)+INDEX(Drivers!$E$8:$E$13,B759)*SIN((A759+INDEX(Drivers!$F$8:$F$13,B759)+Control!$B$16)*Control!$B$14))*INDEX(TrackMap!$M$8:$M$141,MOD(INT(D759)-1,Control!$B$7)+1)*IF(E759="BOOST",Control!$B$12,1)))</x:f>
        <x:v>3.2348425685800075</x:v>
      </x:c>
      <x:c r="G759" s="83" t="n">
        <x:f>IF(A759=0,D759,MIN(Control!$B$17,D759+F759))</x:f>
        <x:v>415.0395354508386</x:v>
      </x:c>
      <x:c r="H759" s="73" t="n">
        <x:f>MOD(INT(G759)-1,Control!$B$7)+1</x:f>
        <x:v>13</x:v>
      </x:c>
      <x:c r="I759" s="73" t="n">
        <x:f>MIN(Control!$B$6,MAX(1,INT(MAX(0,G759)/Control!$B$7)+1))</x:f>
        <x:v>4</x:v>
      </x:c>
      <x:c r="J759" s="73" t="n">
        <x:f>INDEX(Drivers!$H$8:$H$13,B759)</x:f>
        <x:v>2</x:v>
      </x:c>
      <x:c r="K759" s="73" t="n">
        <x:f>IF(J759=1,INDEX(TrackMap!$I$8:$I$141,H759),INDEX(TrackMap!$L$8:$L$141,H759))</x:f>
        <x:v>2904</x:v>
      </x:c>
      <x:c r="L759" s="73" t="str">
        <x:f>INDEX(TrackMap!$F$8:$F$141,H759)</x:f>
        <x:v>↑</x:v>
      </x:c>
      <x:c r="M759" s="87" t="n">
        <x:f>MAX(0,G759/Control!$B$17)</x:f>
        <x:v>0.6194619932102069</x:v>
      </x:c>
      <x:c r="N759" s="73" t="n">
        <x:f>IF(N753&gt;0,N753,IF(G759&gt;=Control!$B$17,A759,0))</x:f>
        <x:v>0</x:v>
      </x:c>
      <x:c r="O759" s="91" t="n">
        <x:f>IF(N759&gt;0,Control!$B$17+Control!$B$8+1-N759,G759)-B759/100000</x:f>
        <x:v>415.0395154508386</x:v>
      </x:c>
      <x:c r="P759" s="73" t="n">
        <x:f>COUNTIF($O$758:$O$763,"&gt;"&amp;O759)+1</x:f>
        <x:v>6</x:v>
      </x:c>
      <x:c r="Q759" s="83" t="n">
        <x:f>MAX($G$758:$G$763)-G759</x:f>
        <x:v>21.33992342117591</x:v>
      </x:c>
      <x:c r="R759" s="73" t="str">
        <x:f>INDEX(TrackMap!$B$8:$B$141,H759)</x:f>
        <x:v>西侧回弯</x:v>
      </x:c>
    </x:row>
    <x:row r="760" ht="20" customHeight="1">
      <x:c r="A760" s="73" t="n">
        <x:v>125</x:v>
      </x:c>
      <x:c r="B760" s="73" t="n">
        <x:v>3</x:v>
      </x:c>
      <x:c r="C760" s="73" t="str">
        <x:f>INDEX(Drivers!$B$8:$B$13,B760)</x:f>
        <x:v>金翼</x:v>
      </x:c>
      <x:c r="D760" s="83" t="n">
        <x:f>G754</x:f>
        <x:v>435.43835070651596</x:v>
      </x:c>
      <x:c r="E760" s="83" t="str">
        <x:f>IF(A760=0,"GRID",IF(D760&gt;=Control!$B$17,"FINISHED",IF(AND(A760&gt;=INDEX(Drivers!$G$8:$G$13,B760),A760&lt;INDEX(Drivers!$G$8:$G$13,B760)+INDEX(Drivers!$J$8:$J$13,B760)),"PIT",IF(MOD(A760+INDEX(Drivers!$F$8:$F$13,B760),Control!$B$11)&lt;Control!$B$13,"BOOST","RACE"))))</x:f>
        <x:v>PIT</x:v>
      </x:c>
      <x:c r="F760" s="83" t="n">
        <x:f>IF(OR(E760="GRID",E760="FINISHED",E760="PIT"),0,MAX(Control!$B$15,(INDEX(Drivers!$D$8:$D$13,B760)+INDEX(Drivers!$E$8:$E$13,B760)*SIN((A760+INDEX(Drivers!$F$8:$F$13,B760)+Control!$B$16)*Control!$B$14))*INDEX(TrackMap!$M$8:$M$141,MOD(INT(D760)-1,Control!$B$7)+1)*IF(E760="BOOST",Control!$B$12,1)))</x:f>
        <x:v>0</x:v>
      </x:c>
      <x:c r="G760" s="83" t="n">
        <x:f>IF(A760=0,D760,MIN(Control!$B$17,D760+F760))</x:f>
        <x:v>435.43835070651596</x:v>
      </x:c>
      <x:c r="H760" s="73" t="n">
        <x:f>MOD(INT(G760)-1,Control!$B$7)+1</x:f>
        <x:v>33</x:v>
      </x:c>
      <x:c r="I760" s="73" t="n">
        <x:f>MIN(Control!$B$6,MAX(1,INT(MAX(0,G760)/Control!$B$7)+1))</x:f>
        <x:v>4</x:v>
      </x:c>
      <x:c r="J760" s="73" t="n">
        <x:f>INDEX(Drivers!$H$8:$H$13,B760)</x:f>
        <x:v>1</x:v>
      </x:c>
      <x:c r="K760" s="73" t="n">
        <x:f>IF(J760=1,INDEX(TrackMap!$I$8:$I$141,H760),INDEX(TrackMap!$L$8:$L$141,H760))</x:f>
        <x:v>1210</x:v>
      </x:c>
      <x:c r="L760" s="73" t="str">
        <x:f>INDEX(TrackMap!$F$8:$F$141,H760)</x:f>
        <x:v>↑</x:v>
      </x:c>
      <x:c r="M760" s="87" t="n">
        <x:f>MAX(0,G760/Control!$B$17)</x:f>
        <x:v>0.6499079861291283</x:v>
      </x:c>
      <x:c r="N760" s="73" t="n">
        <x:f>IF(N754&gt;0,N754,IF(G760&gt;=Control!$B$17,A760,0))</x:f>
        <x:v>0</x:v>
      </x:c>
      <x:c r="O760" s="91" t="n">
        <x:f>IF(N760&gt;0,Control!$B$17+Control!$B$8+1-N760,G760)-B760/100000</x:f>
        <x:v>435.438320706516</x:v>
      </x:c>
      <x:c r="P760" s="73" t="n">
        <x:f>COUNTIF($O$758:$O$763,"&gt;"&amp;O760)+1</x:f>
        <x:v>2</x:v>
      </x:c>
      <x:c r="Q760" s="83" t="n">
        <x:f>MAX($G$758:$G$763)-G760</x:f>
        <x:v>0.9411081654985765</x:v>
      </x:c>
      <x:c r="R760" s="73" t="str">
        <x:f>INDEX(TrackMap!$B$8:$B$141,H760)</x:f>
        <x:v>西侧上坡弯</x:v>
      </x:c>
    </x:row>
    <x:row r="761" ht="20" customHeight="1">
      <x:c r="A761" s="73" t="n">
        <x:v>125</x:v>
      </x:c>
      <x:c r="B761" s="73" t="n">
        <x:v>4</x:v>
      </x:c>
      <x:c r="C761" s="73" t="str">
        <x:f>INDEX(Drivers!$B$8:$B$13,B761)</x:f>
        <x:v>紫影</x:v>
      </x:c>
      <x:c r="D761" s="83" t="n">
        <x:f>G755</x:f>
        <x:v>415.1720939547018</x:v>
      </x:c>
      <x:c r="E761" s="83" t="str">
        <x:f>IF(A761=0,"GRID",IF(D761&gt;=Control!$B$17,"FINISHED",IF(AND(A761&gt;=INDEX(Drivers!$G$8:$G$13,B761),A761&lt;INDEX(Drivers!$G$8:$G$13,B761)+INDEX(Drivers!$J$8:$J$13,B761)),"PIT",IF(MOD(A761+INDEX(Drivers!$F$8:$F$13,B761),Control!$B$11)&lt;Control!$B$13,"BOOST","RACE"))))</x:f>
        <x:v>RACE</x:v>
      </x:c>
      <x:c r="F761" s="83" t="n">
        <x:f>IF(OR(E761="GRID",E761="FINISHED",E761="PIT"),0,MAX(Control!$B$15,(INDEX(Drivers!$D$8:$D$13,B761)+INDEX(Drivers!$E$8:$E$13,B761)*SIN((A761+INDEX(Drivers!$F$8:$F$13,B761)+Control!$B$16)*Control!$B$14))*INDEX(TrackMap!$M$8:$M$141,MOD(INT(D761)-1,Control!$B$7)+1)*IF(E761="BOOST",Control!$B$12,1)))</x:f>
        <x:v>3.021015095042275</x:v>
      </x:c>
      <x:c r="G761" s="83" t="n">
        <x:f>IF(A761=0,D761,MIN(Control!$B$17,D761+F761))</x:f>
        <x:v>418.19310904974407</x:v>
      </x:c>
      <x:c r="H761" s="73" t="n">
        <x:f>MOD(INT(G761)-1,Control!$B$7)+1</x:f>
        <x:v>16</x:v>
      </x:c>
      <x:c r="I761" s="73" t="n">
        <x:f>MIN(Control!$B$6,MAX(1,INT(MAX(0,G761)/Control!$B$7)+1))</x:f>
        <x:v>4</x:v>
      </x:c>
      <x:c r="J761" s="73" t="n">
        <x:f>INDEX(Drivers!$H$8:$H$13,B761)</x:f>
        <x:v>2</x:v>
      </x:c>
      <x:c r="K761" s="73" t="n">
        <x:f>IF(J761=1,INDEX(TrackMap!$I$8:$I$141,H761),INDEX(TrackMap!$L$8:$L$141,H761))</x:f>
        <x:v>2604</x:v>
      </x:c>
      <x:c r="L761" s="73" t="str">
        <x:f>INDEX(TrackMap!$F$8:$F$141,H761)</x:f>
        <x:v>↑</x:v>
      </x:c>
      <x:c r="M761" s="87" t="n">
        <x:f>MAX(0,G761/Control!$B$17)</x:f>
        <x:v>0.6241688194772299</x:v>
      </x:c>
      <x:c r="N761" s="73" t="n">
        <x:f>IF(N755&gt;0,N755,IF(G761&gt;=Control!$B$17,A761,0))</x:f>
        <x:v>0</x:v>
      </x:c>
      <x:c r="O761" s="91" t="n">
        <x:f>IF(N761&gt;0,Control!$B$17+Control!$B$8+1-N761,G761)-B761/100000</x:f>
        <x:v>418.19306904974405</x:v>
      </x:c>
      <x:c r="P761" s="73" t="n">
        <x:f>COUNTIF($O$758:$O$763,"&gt;"&amp;O761)+1</x:f>
        <x:v>5</x:v>
      </x:c>
      <x:c r="Q761" s="83" t="n">
        <x:f>MAX($G$758:$G$763)-G761</x:f>
        <x:v>18.186349822270472</x:v>
      </x:c>
      <x:c r="R761" s="73" t="str">
        <x:f>INDEX(TrackMap!$B$8:$B$141,H761)</x:f>
        <x:v>西侧回弯</x:v>
      </x:c>
    </x:row>
    <x:row r="762" ht="20" customHeight="1">
      <x:c r="A762" s="73" t="n">
        <x:v>125</x:v>
      </x:c>
      <x:c r="B762" s="73" t="n">
        <x:v>5</x:v>
      </x:c>
      <x:c r="C762" s="73" t="str">
        <x:f>INDEX(Drivers!$B$8:$B$13,B762)</x:f>
        <x:v>青锋</x:v>
      </x:c>
      <x:c r="D762" s="83" t="n">
        <x:f>G756</x:f>
        <x:v>432.50149340883013</x:v>
      </x:c>
      <x:c r="E762" s="83" t="str">
        <x:f>IF(A762=0,"GRID",IF(D762&gt;=Control!$B$17,"FINISHED",IF(AND(A762&gt;=INDEX(Drivers!$G$8:$G$13,B762),A762&lt;INDEX(Drivers!$G$8:$G$13,B762)+INDEX(Drivers!$J$8:$J$13,B762)),"PIT",IF(MOD(A762+INDEX(Drivers!$F$8:$F$13,B762),Control!$B$11)&lt;Control!$B$13,"BOOST","RACE"))))</x:f>
        <x:v>RACE</x:v>
      </x:c>
      <x:c r="F762" s="83" t="n">
        <x:f>IF(OR(E762="GRID",E762="FINISHED",E762="PIT"),0,MAX(Control!$B$15,(INDEX(Drivers!$D$8:$D$13,B762)+INDEX(Drivers!$E$8:$E$13,B762)*SIN((A762+INDEX(Drivers!$F$8:$F$13,B762)+Control!$B$16)*Control!$B$14))*INDEX(TrackMap!$M$8:$M$141,MOD(INT(D762)-1,Control!$B$7)+1)*IF(E762="BOOST",Control!$B$12,1)))</x:f>
        <x:v>3.8779654631844194</x:v>
      </x:c>
      <x:c r="G762" s="83" t="n">
        <x:f>IF(A762=0,D762,MIN(Control!$B$17,D762+F762))</x:f>
        <x:v>436.37945887201454</x:v>
      </x:c>
      <x:c r="H762" s="73" t="n">
        <x:f>MOD(INT(G762)-1,Control!$B$7)+1</x:f>
        <x:v>34</x:v>
      </x:c>
      <x:c r="I762" s="73" t="n">
        <x:f>MIN(Control!$B$6,MAX(1,INT(MAX(0,G762)/Control!$B$7)+1))</x:f>
        <x:v>4</x:v>
      </x:c>
      <x:c r="J762" s="73" t="n">
        <x:f>INDEX(Drivers!$H$8:$H$13,B762)</x:f>
        <x:v>1</x:v>
      </x:c>
      <x:c r="K762" s="73" t="n">
        <x:f>IF(J762=1,INDEX(TrackMap!$I$8:$I$141,H762),INDEX(TrackMap!$L$8:$L$141,H762))</x:f>
        <x:v>1110</x:v>
      </x:c>
      <x:c r="L762" s="73" t="str">
        <x:f>INDEX(TrackMap!$F$8:$F$141,H762)</x:f>
        <x:v>↑</x:v>
      </x:c>
      <x:c r="M762" s="87" t="n">
        <x:f>MAX(0,G762/Control!$B$17)</x:f>
        <x:v>0.6513126251821113</x:v>
      </x:c>
      <x:c r="N762" s="73" t="n">
        <x:f>IF(N756&gt;0,N756,IF(G762&gt;=Control!$B$17,A762,0))</x:f>
        <x:v>0</x:v>
      </x:c>
      <x:c r="O762" s="91" t="n">
        <x:f>IF(N762&gt;0,Control!$B$17+Control!$B$8+1-N762,G762)-B762/100000</x:f>
        <x:v>436.37940887201455</x:v>
      </x:c>
      <x:c r="P762" s="73" t="n">
        <x:f>COUNTIF($O$758:$O$763,"&gt;"&amp;O762)+1</x:f>
        <x:v>1</x:v>
      </x:c>
      <x:c r="Q762" s="83" t="n">
        <x:f>MAX($G$758:$G$763)-G762</x:f>
        <x:v>0</x:v>
      </x:c>
      <x:c r="R762" s="73" t="str">
        <x:f>INDEX(TrackMap!$B$8:$B$141,H762)</x:f>
        <x:v>西侧上坡弯</x:v>
      </x:c>
    </x:row>
    <x:row r="763" ht="20" customHeight="1">
      <x:c r="A763" s="73" t="n">
        <x:v>125</x:v>
      </x:c>
      <x:c r="B763" s="73" t="n">
        <x:v>6</x:v>
      </x:c>
      <x:c r="C763" s="73" t="str">
        <x:f>INDEX(Drivers!$B$8:$B$13,B763)</x:f>
        <x:v>玫速</x:v>
      </x:c>
      <x:c r="D763" s="83" t="n">
        <x:f>G757</x:f>
        <x:v>430.80822307102994</x:v>
      </x:c>
      <x:c r="E763" s="83" t="str">
        <x:f>IF(A763=0,"GRID",IF(D763&gt;=Control!$B$17,"FINISHED",IF(AND(A763&gt;=INDEX(Drivers!$G$8:$G$13,B763),A763&lt;INDEX(Drivers!$G$8:$G$13,B763)+INDEX(Drivers!$J$8:$J$13,B763)),"PIT",IF(MOD(A763+INDEX(Drivers!$F$8:$F$13,B763),Control!$B$11)&lt;Control!$B$13,"BOOST","RACE"))))</x:f>
        <x:v>RACE</x:v>
      </x:c>
      <x:c r="F763" s="83" t="n">
        <x:f>IF(OR(E763="GRID",E763="FINISHED",E763="PIT"),0,MAX(Control!$B$15,(INDEX(Drivers!$D$8:$D$13,B763)+INDEX(Drivers!$E$8:$E$13,B763)*SIN((A763+INDEX(Drivers!$F$8:$F$13,B763)+Control!$B$16)*Control!$B$14))*INDEX(TrackMap!$M$8:$M$141,MOD(INT(D763)-1,Control!$B$7)+1)*IF(E763="BOOST",Control!$B$12,1)))</x:f>
        <x:v>3.159944255443545</x:v>
      </x:c>
      <x:c r="G763" s="83" t="n">
        <x:f>IF(A763=0,D763,MIN(Control!$B$17,D763+F763))</x:f>
        <x:v>433.96816732647346</x:v>
      </x:c>
      <x:c r="H763" s="73" t="n">
        <x:f>MOD(INT(G763)-1,Control!$B$7)+1</x:f>
        <x:v>31</x:v>
      </x:c>
      <x:c r="I763" s="73" t="n">
        <x:f>MIN(Control!$B$6,MAX(1,INT(MAX(0,G763)/Control!$B$7)+1))</x:f>
        <x:v>4</x:v>
      </x:c>
      <x:c r="J763" s="73" t="n">
        <x:f>INDEX(Drivers!$H$8:$H$13,B763)</x:f>
        <x:v>2</x:v>
      </x:c>
      <x:c r="K763" s="73" t="n">
        <x:f>IF(J763=1,INDEX(TrackMap!$I$8:$I$141,H763),INDEX(TrackMap!$L$8:$L$141,H763))</x:f>
        <x:v>1411</x:v>
      </x:c>
      <x:c r="L763" s="73" t="str">
        <x:f>INDEX(TrackMap!$F$8:$F$141,H763)</x:f>
        <x:v>↑</x:v>
      </x:c>
      <x:c r="M763" s="87" t="n">
        <x:f>MAX(0,G763/Control!$B$17)</x:f>
        <x:v>0.647713682576826</x:v>
      </x:c>
      <x:c r="N763" s="73" t="n">
        <x:f>IF(N757&gt;0,N757,IF(G763&gt;=Control!$B$17,A763,0))</x:f>
        <x:v>0</x:v>
      </x:c>
      <x:c r="O763" s="91" t="n">
        <x:f>IF(N763&gt;0,Control!$B$17+Control!$B$8+1-N763,G763)-B763/100000</x:f>
        <x:v>433.96810732647344</x:v>
      </x:c>
      <x:c r="P763" s="73" t="n">
        <x:f>COUNTIF($O$758:$O$763,"&gt;"&amp;O763)+1</x:f>
        <x:v>3</x:v>
      </x:c>
      <x:c r="Q763" s="83" t="n">
        <x:f>MAX($G$758:$G$763)-G763</x:f>
        <x:v>2.4112915455410757</x:v>
      </x:c>
      <x:c r="R763" s="73" t="str">
        <x:f>INDEX(TrackMap!$B$8:$B$141,H763)</x:f>
        <x:v>西侧上坡弯</x:v>
      </x:c>
    </x:row>
    <x:row r="764" ht="20" customHeight="1">
      <x:c r="A764" s="73" t="n">
        <x:v>126</x:v>
      </x:c>
      <x:c r="B764" s="73" t="n">
        <x:v>1</x:v>
      </x:c>
      <x:c r="C764" s="73" t="str">
        <x:f>INDEX(Drivers!$B$8:$B$13,B764)</x:f>
        <x:v>赤焰</x:v>
      </x:c>
      <x:c r="D764" s="83" t="n">
        <x:f>G758</x:f>
        <x:v>429.93225200703625</x:v>
      </x:c>
      <x:c r="E764" s="83" t="str">
        <x:f>IF(A764=0,"GRID",IF(D764&gt;=Control!$B$17,"FINISHED",IF(AND(A764&gt;=INDEX(Drivers!$G$8:$G$13,B764),A764&lt;INDEX(Drivers!$G$8:$G$13,B764)+INDEX(Drivers!$J$8:$J$13,B764)),"PIT",IF(MOD(A764+INDEX(Drivers!$F$8:$F$13,B764),Control!$B$11)&lt;Control!$B$13,"BOOST","RACE"))))</x:f>
        <x:v>RACE</x:v>
      </x:c>
      <x:c r="F764" s="83" t="n">
        <x:f>IF(OR(E764="GRID",E764="FINISHED",E764="PIT"),0,MAX(Control!$B$15,(INDEX(Drivers!$D$8:$D$13,B764)+INDEX(Drivers!$E$8:$E$13,B764)*SIN((A764+INDEX(Drivers!$F$8:$F$13,B764)+Control!$B$16)*Control!$B$14))*INDEX(TrackMap!$M$8:$M$141,MOD(INT(D764)-1,Control!$B$7)+1)*IF(E764="BOOST",Control!$B$12,1)))</x:f>
        <x:v>3.2757177167478826</x:v>
      </x:c>
      <x:c r="G764" s="83" t="n">
        <x:f>IF(A764=0,D764,MIN(Control!$B$17,D764+F764))</x:f>
        <x:v>433.2079697237841</x:v>
      </x:c>
      <x:c r="H764" s="73" t="n">
        <x:f>MOD(INT(G764)-1,Control!$B$7)+1</x:f>
        <x:v>31</x:v>
      </x:c>
      <x:c r="I764" s="73" t="n">
        <x:f>MIN(Control!$B$6,MAX(1,INT(MAX(0,G764)/Control!$B$7)+1))</x:f>
        <x:v>4</x:v>
      </x:c>
      <x:c r="J764" s="73" t="n">
        <x:f>INDEX(Drivers!$H$8:$H$13,B764)</x:f>
        <x:v>1</x:v>
      </x:c>
      <x:c r="K764" s="73" t="n">
        <x:f>IF(J764=1,INDEX(TrackMap!$I$8:$I$141,H764),INDEX(TrackMap!$L$8:$L$141,H764))</x:f>
        <x:v>1410</x:v>
      </x:c>
      <x:c r="L764" s="73" t="str">
        <x:f>INDEX(TrackMap!$F$8:$F$141,H764)</x:f>
        <x:v>↑</x:v>
      </x:c>
      <x:c r="M764" s="87" t="n">
        <x:f>MAX(0,G764/Control!$B$17)</x:f>
        <x:v>0.64657905928923</x:v>
      </x:c>
      <x:c r="N764" s="73" t="n">
        <x:f>IF(N758&gt;0,N758,IF(G764&gt;=Control!$B$17,A764,0))</x:f>
        <x:v>0</x:v>
      </x:c>
      <x:c r="O764" s="91" t="n">
        <x:f>IF(N764&gt;0,Control!$B$17+Control!$B$8+1-N764,G764)-B764/100000</x:f>
        <x:v>433.20795972378414</x:v>
      </x:c>
      <x:c r="P764" s="73" t="n">
        <x:f>COUNTIF($O$764:$O$769,"&gt;"&amp;O764)+1</x:f>
        <x:v>4</x:v>
      </x:c>
      <x:c r="Q764" s="83" t="n">
        <x:f>MAX($G$764:$G$769)-G764</x:f>
        <x:v>6.054292208698598</x:v>
      </x:c>
      <x:c r="R764" s="73" t="str">
        <x:f>INDEX(TrackMap!$B$8:$B$141,H764)</x:f>
        <x:v>西侧上坡弯</x:v>
      </x:c>
    </x:row>
    <x:row r="765" ht="20" customHeight="1">
      <x:c r="A765" s="73" t="n">
        <x:v>126</x:v>
      </x:c>
      <x:c r="B765" s="73" t="n">
        <x:v>2</x:v>
      </x:c>
      <x:c r="C765" s="73" t="str">
        <x:f>INDEX(Drivers!$B$8:$B$13,B765)</x:f>
        <x:v>蓝电</x:v>
      </x:c>
      <x:c r="D765" s="83" t="n">
        <x:f>G759</x:f>
        <x:v>415.0395354508386</x:v>
      </x:c>
      <x:c r="E765" s="83" t="str">
        <x:f>IF(A765=0,"GRID",IF(D765&gt;=Control!$B$17,"FINISHED",IF(AND(A765&gt;=INDEX(Drivers!$G$8:$G$13,B765),A765&lt;INDEX(Drivers!$G$8:$G$13,B765)+INDEX(Drivers!$J$8:$J$13,B765)),"PIT",IF(MOD(A765+INDEX(Drivers!$F$8:$F$13,B765),Control!$B$11)&lt;Control!$B$13,"BOOST","RACE"))))</x:f>
        <x:v>RACE</x:v>
      </x:c>
      <x:c r="F765" s="83" t="n">
        <x:f>IF(OR(E765="GRID",E765="FINISHED",E765="PIT"),0,MAX(Control!$B$15,(INDEX(Drivers!$D$8:$D$13,B765)+INDEX(Drivers!$E$8:$E$13,B765)*SIN((A765+INDEX(Drivers!$F$8:$F$13,B765)+Control!$B$16)*Control!$B$14))*INDEX(TrackMap!$M$8:$M$141,MOD(INT(D765)-1,Control!$B$7)+1)*IF(E765="BOOST",Control!$B$12,1)))</x:f>
        <x:v>2.4029664150175916</x:v>
      </x:c>
      <x:c r="G765" s="83" t="n">
        <x:f>IF(A765=0,D765,MIN(Control!$B$17,D765+F765))</x:f>
        <x:v>417.44250186585623</x:v>
      </x:c>
      <x:c r="H765" s="73" t="n">
        <x:f>MOD(INT(G765)-1,Control!$B$7)+1</x:f>
        <x:v>15</x:v>
      </x:c>
      <x:c r="I765" s="73" t="n">
        <x:f>MIN(Control!$B$6,MAX(1,INT(MAX(0,G765)/Control!$B$7)+1))</x:f>
        <x:v>4</x:v>
      </x:c>
      <x:c r="J765" s="73" t="n">
        <x:f>INDEX(Drivers!$H$8:$H$13,B765)</x:f>
        <x:v>2</x:v>
      </x:c>
      <x:c r="K765" s="73" t="n">
        <x:f>IF(J765=1,INDEX(TrackMap!$I$8:$I$141,H765),INDEX(TrackMap!$L$8:$L$141,H765))</x:f>
        <x:v>2704</x:v>
      </x:c>
      <x:c r="L765" s="73" t="str">
        <x:f>INDEX(TrackMap!$F$8:$F$141,H765)</x:f>
        <x:v>↑</x:v>
      </x:c>
      <x:c r="M765" s="87" t="n">
        <x:f>MAX(0,G765/Control!$B$17)</x:f>
        <x:v>0.6230485102475466</x:v>
      </x:c>
      <x:c r="N765" s="73" t="n">
        <x:f>IF(N759&gt;0,N759,IF(G765&gt;=Control!$B$17,A765,0))</x:f>
        <x:v>0</x:v>
      </x:c>
      <x:c r="O765" s="91" t="n">
        <x:f>IF(N765&gt;0,Control!$B$17+Control!$B$8+1-N765,G765)-B765/100000</x:f>
        <x:v>417.4424818658562</x:v>
      </x:c>
      <x:c r="P765" s="73" t="n">
        <x:f>COUNTIF($O$764:$O$769,"&gt;"&amp;O765)+1</x:f>
        <x:v>6</x:v>
      </x:c>
      <x:c r="Q765" s="83" t="n">
        <x:f>MAX($G$764:$G$769)-G765</x:f>
        <x:v>21.819760066626486</x:v>
      </x:c>
      <x:c r="R765" s="73" t="str">
        <x:f>INDEX(TrackMap!$B$8:$B$141,H765)</x:f>
        <x:v>西侧回弯</x:v>
      </x:c>
    </x:row>
    <x:row r="766" ht="20" customHeight="1">
      <x:c r="A766" s="73" t="n">
        <x:v>126</x:v>
      </x:c>
      <x:c r="B766" s="73" t="n">
        <x:v>3</x:v>
      </x:c>
      <x:c r="C766" s="73" t="str">
        <x:f>INDEX(Drivers!$B$8:$B$13,B766)</x:f>
        <x:v>金翼</x:v>
      </x:c>
      <x:c r="D766" s="83" t="n">
        <x:f>G760</x:f>
        <x:v>435.43835070651596</x:v>
      </x:c>
      <x:c r="E766" s="83" t="str">
        <x:f>IF(A766=0,"GRID",IF(D766&gt;=Control!$B$17,"FINISHED",IF(AND(A766&gt;=INDEX(Drivers!$G$8:$G$13,B766),A766&lt;INDEX(Drivers!$G$8:$G$13,B766)+INDEX(Drivers!$J$8:$J$13,B766)),"PIT",IF(MOD(A766+INDEX(Drivers!$F$8:$F$13,B766),Control!$B$11)&lt;Control!$B$13,"BOOST","RACE"))))</x:f>
        <x:v>PIT</x:v>
      </x:c>
      <x:c r="F766" s="83" t="n">
        <x:f>IF(OR(E766="GRID",E766="FINISHED",E766="PIT"),0,MAX(Control!$B$15,(INDEX(Drivers!$D$8:$D$13,B766)+INDEX(Drivers!$E$8:$E$13,B766)*SIN((A766+INDEX(Drivers!$F$8:$F$13,B766)+Control!$B$16)*Control!$B$14))*INDEX(TrackMap!$M$8:$M$141,MOD(INT(D766)-1,Control!$B$7)+1)*IF(E766="BOOST",Control!$B$12,1)))</x:f>
        <x:v>0</x:v>
      </x:c>
      <x:c r="G766" s="83" t="n">
        <x:f>IF(A766=0,D766,MIN(Control!$B$17,D766+F766))</x:f>
        <x:v>435.43835070651596</x:v>
      </x:c>
      <x:c r="H766" s="73" t="n">
        <x:f>MOD(INT(G766)-1,Control!$B$7)+1</x:f>
        <x:v>33</x:v>
      </x:c>
      <x:c r="I766" s="73" t="n">
        <x:f>MIN(Control!$B$6,MAX(1,INT(MAX(0,G766)/Control!$B$7)+1))</x:f>
        <x:v>4</x:v>
      </x:c>
      <x:c r="J766" s="73" t="n">
        <x:f>INDEX(Drivers!$H$8:$H$13,B766)</x:f>
        <x:v>1</x:v>
      </x:c>
      <x:c r="K766" s="73" t="n">
        <x:f>IF(J766=1,INDEX(TrackMap!$I$8:$I$141,H766),INDEX(TrackMap!$L$8:$L$141,H766))</x:f>
        <x:v>1210</x:v>
      </x:c>
      <x:c r="L766" s="73" t="str">
        <x:f>INDEX(TrackMap!$F$8:$F$141,H766)</x:f>
        <x:v>↑</x:v>
      </x:c>
      <x:c r="M766" s="87" t="n">
        <x:f>MAX(0,G766/Control!$B$17)</x:f>
        <x:v>0.6499079861291283</x:v>
      </x:c>
      <x:c r="N766" s="73" t="n">
        <x:f>IF(N760&gt;0,N760,IF(G766&gt;=Control!$B$17,A766,0))</x:f>
        <x:v>0</x:v>
      </x:c>
      <x:c r="O766" s="91" t="n">
        <x:f>IF(N766&gt;0,Control!$B$17+Control!$B$8+1-N766,G766)-B766/100000</x:f>
        <x:v>435.438320706516</x:v>
      </x:c>
      <x:c r="P766" s="73" t="n">
        <x:f>COUNTIF($O$764:$O$769,"&gt;"&amp;O766)+1</x:f>
        <x:v>3</x:v>
      </x:c>
      <x:c r="Q766" s="83" t="n">
        <x:f>MAX($G$764:$G$769)-G766</x:f>
        <x:v>3.8239112259667536</x:v>
      </x:c>
      <x:c r="R766" s="73" t="str">
        <x:f>INDEX(TrackMap!$B$8:$B$141,H766)</x:f>
        <x:v>西侧上坡弯</x:v>
      </x:c>
    </x:row>
    <x:row r="767" ht="20" customHeight="1">
      <x:c r="A767" s="73" t="n">
        <x:v>126</x:v>
      </x:c>
      <x:c r="B767" s="73" t="n">
        <x:v>4</x:v>
      </x:c>
      <x:c r="C767" s="73" t="str">
        <x:f>INDEX(Drivers!$B$8:$B$13,B767)</x:f>
        <x:v>紫影</x:v>
      </x:c>
      <x:c r="D767" s="83" t="n">
        <x:f>G761</x:f>
        <x:v>418.19310904974407</x:v>
      </x:c>
      <x:c r="E767" s="83" t="str">
        <x:f>IF(A767=0,"GRID",IF(D767&gt;=Control!$B$17,"FINISHED",IF(AND(A767&gt;=INDEX(Drivers!$G$8:$G$13,B767),A767&lt;INDEX(Drivers!$G$8:$G$13,B767)+INDEX(Drivers!$J$8:$J$13,B767)),"PIT",IF(MOD(A767+INDEX(Drivers!$F$8:$F$13,B767),Control!$B$11)&lt;Control!$B$13,"BOOST","RACE"))))</x:f>
        <x:v>RACE</x:v>
      </x:c>
      <x:c r="F767" s="83" t="n">
        <x:f>IF(OR(E767="GRID",E767="FINISHED",E767="PIT"),0,MAX(Control!$B$15,(INDEX(Drivers!$D$8:$D$13,B767)+INDEX(Drivers!$E$8:$E$13,B767)*SIN((A767+INDEX(Drivers!$F$8:$F$13,B767)+Control!$B$16)*Control!$B$14))*INDEX(TrackMap!$M$8:$M$141,MOD(INT(D767)-1,Control!$B$7)+1)*IF(E767="BOOST",Control!$B$12,1)))</x:f>
        <x:v>2.862274766698588</x:v>
      </x:c>
      <x:c r="G767" s="83" t="n">
        <x:f>IF(A767=0,D767,MIN(Control!$B$17,D767+F767))</x:f>
        <x:v>421.05538381644266</x:v>
      </x:c>
      <x:c r="H767" s="73" t="n">
        <x:f>MOD(INT(G767)-1,Control!$B$7)+1</x:f>
        <x:v>19</x:v>
      </x:c>
      <x:c r="I767" s="73" t="n">
        <x:f>MIN(Control!$B$6,MAX(1,INT(MAX(0,G767)/Control!$B$7)+1))</x:f>
        <x:v>4</x:v>
      </x:c>
      <x:c r="J767" s="73" t="n">
        <x:f>INDEX(Drivers!$H$8:$H$13,B767)</x:f>
        <x:v>2</x:v>
      </x:c>
      <x:c r="K767" s="73" t="n">
        <x:f>IF(J767=1,INDEX(TrackMap!$I$8:$I$141,H767),INDEX(TrackMap!$L$8:$L$141,H767))</x:f>
        <x:v>2304</x:v>
      </x:c>
      <x:c r="L767" s="73" t="str">
        <x:f>INDEX(TrackMap!$F$8:$F$141,H767)</x:f>
        <x:v>↑</x:v>
      </x:c>
      <x:c r="M767" s="87" t="n">
        <x:f>MAX(0,G767/Control!$B$17)</x:f>
        <x:v>0.6284408713678249</x:v>
      </x:c>
      <x:c r="N767" s="73" t="n">
        <x:f>IF(N761&gt;0,N761,IF(G767&gt;=Control!$B$17,A767,0))</x:f>
        <x:v>0</x:v>
      </x:c>
      <x:c r="O767" s="91" t="n">
        <x:f>IF(N767&gt;0,Control!$B$17+Control!$B$8+1-N767,G767)-B767/100000</x:f>
        <x:v>421.05534381644264</x:v>
      </x:c>
      <x:c r="P767" s="73" t="n">
        <x:f>COUNTIF($O$764:$O$769,"&gt;"&amp;O767)+1</x:f>
        <x:v>5</x:v>
      </x:c>
      <x:c r="Q767" s="83" t="n">
        <x:f>MAX($G$764:$G$769)-G767</x:f>
        <x:v>18.20687811604006</x:v>
      </x:c>
      <x:c r="R767" s="73" t="str">
        <x:f>INDEX(TrackMap!$B$8:$B$141,H767)</x:f>
        <x:v>西侧回弯</x:v>
      </x:c>
    </x:row>
    <x:row r="768" ht="20" customHeight="1">
      <x:c r="A768" s="73" t="n">
        <x:v>126</x:v>
      </x:c>
      <x:c r="B768" s="73" t="n">
        <x:v>5</x:v>
      </x:c>
      <x:c r="C768" s="73" t="str">
        <x:f>INDEX(Drivers!$B$8:$B$13,B768)</x:f>
        <x:v>青锋</x:v>
      </x:c>
      <x:c r="D768" s="83" t="n">
        <x:f>G762</x:f>
        <x:v>436.37945887201454</x:v>
      </x:c>
      <x:c r="E768" s="83" t="str">
        <x:f>IF(A768=0,"GRID",IF(D768&gt;=Control!$B$17,"FINISHED",IF(AND(A768&gt;=INDEX(Drivers!$G$8:$G$13,B768),A768&lt;INDEX(Drivers!$G$8:$G$13,B768)+INDEX(Drivers!$J$8:$J$13,B768)),"PIT",IF(MOD(A768+INDEX(Drivers!$F$8:$F$13,B768),Control!$B$11)&lt;Control!$B$13,"BOOST","RACE"))))</x:f>
        <x:v>RACE</x:v>
      </x:c>
      <x:c r="F768" s="83" t="n">
        <x:f>IF(OR(E768="GRID",E768="FINISHED",E768="PIT"),0,MAX(Control!$B$15,(INDEX(Drivers!$D$8:$D$13,B768)+INDEX(Drivers!$E$8:$E$13,B768)*SIN((A768+INDEX(Drivers!$F$8:$F$13,B768)+Control!$B$16)*Control!$B$14))*INDEX(TrackMap!$M$8:$M$141,MOD(INT(D768)-1,Control!$B$7)+1)*IF(E768="BOOST",Control!$B$12,1)))</x:f>
        <x:v>2.8828030604682042</x:v>
      </x:c>
      <x:c r="G768" s="83" t="n">
        <x:f>IF(A768=0,D768,MIN(Control!$B$17,D768+F768))</x:f>
        <x:v>439.2622619324827</x:v>
      </x:c>
      <x:c r="H768" s="73" t="n">
        <x:f>MOD(INT(G768)-1,Control!$B$7)+1</x:f>
        <x:v>37</x:v>
      </x:c>
      <x:c r="I768" s="73" t="n">
        <x:f>MIN(Control!$B$6,MAX(1,INT(MAX(0,G768)/Control!$B$7)+1))</x:f>
        <x:v>4</x:v>
      </x:c>
      <x:c r="J768" s="73" t="n">
        <x:f>INDEX(Drivers!$H$8:$H$13,B768)</x:f>
        <x:v>1</x:v>
      </x:c>
      <x:c r="K768" s="73" t="n">
        <x:f>IF(J768=1,INDEX(TrackMap!$I$8:$I$141,H768),INDEX(TrackMap!$L$8:$L$141,H768))</x:f>
        <x:v>813</x:v>
      </x:c>
      <x:c r="L768" s="73" t="str">
        <x:f>INDEX(TrackMap!$F$8:$F$141,H768)</x:f>
        <x:v>→</x:v>
      </x:c>
      <x:c r="M768" s="87" t="n">
        <x:f>MAX(0,G768/Control!$B$17)</x:f>
        <x:v>0.6556153163171384</x:v>
      </x:c>
      <x:c r="N768" s="73" t="n">
        <x:f>IF(N762&gt;0,N762,IF(G768&gt;=Control!$B$17,A768,0))</x:f>
        <x:v>0</x:v>
      </x:c>
      <x:c r="O768" s="91" t="n">
        <x:f>IF(N768&gt;0,Control!$B$17+Control!$B$8+1-N768,G768)-B768/100000</x:f>
        <x:v>439.2622119324827</x:v>
      </x:c>
      <x:c r="P768" s="73" t="n">
        <x:f>COUNTIF($O$764:$O$769,"&gt;"&amp;O768)+1</x:f>
        <x:v>1</x:v>
      </x:c>
      <x:c r="Q768" s="83" t="n">
        <x:f>MAX($G$764:$G$769)-G768</x:f>
        <x:v>0</x:v>
      </x:c>
      <x:c r="R768" s="73" t="str">
        <x:f>INDEX(TrackMap!$B$8:$B$141,H768)</x:f>
        <x:v>西侧发卡弯</x:v>
      </x:c>
    </x:row>
    <x:row r="769" ht="20" customHeight="1">
      <x:c r="A769" s="73" t="n">
        <x:v>126</x:v>
      </x:c>
      <x:c r="B769" s="73" t="n">
        <x:v>6</x:v>
      </x:c>
      <x:c r="C769" s="73" t="str">
        <x:f>INDEX(Drivers!$B$8:$B$13,B769)</x:f>
        <x:v>玫速</x:v>
      </x:c>
      <x:c r="D769" s="83" t="n">
        <x:f>G763</x:f>
        <x:v>433.96816732647346</x:v>
      </x:c>
      <x:c r="E769" s="83" t="str">
        <x:f>IF(A769=0,"GRID",IF(D769&gt;=Control!$B$17,"FINISHED",IF(AND(A769&gt;=INDEX(Drivers!$G$8:$G$13,B769),A769&lt;INDEX(Drivers!$G$8:$G$13,B769)+INDEX(Drivers!$J$8:$J$13,B769)),"PIT",IF(MOD(A769+INDEX(Drivers!$F$8:$F$13,B769),Control!$B$11)&lt;Control!$B$13,"BOOST","RACE"))))</x:f>
        <x:v>RACE</x:v>
      </x:c>
      <x:c r="F769" s="83" t="n">
        <x:f>IF(OR(E769="GRID",E769="FINISHED",E769="PIT"),0,MAX(Control!$B$15,(INDEX(Drivers!$D$8:$D$13,B769)+INDEX(Drivers!$E$8:$E$13,B769)*SIN((A769+INDEX(Drivers!$F$8:$F$13,B769)+Control!$B$16)*Control!$B$14))*INDEX(TrackMap!$M$8:$M$141,MOD(INT(D769)-1,Control!$B$7)+1)*IF(E769="BOOST",Control!$B$12,1)))</x:f>
        <x:v>3.3033460661428125</x:v>
      </x:c>
      <x:c r="G769" s="83" t="n">
        <x:f>IF(A769=0,D769,MIN(Control!$B$17,D769+F769))</x:f>
        <x:v>437.27151339261627</x:v>
      </x:c>
      <x:c r="H769" s="73" t="n">
        <x:f>MOD(INT(G769)-1,Control!$B$7)+1</x:f>
        <x:v>35</x:v>
      </x:c>
      <x:c r="I769" s="73" t="n">
        <x:f>MIN(Control!$B$6,MAX(1,INT(MAX(0,G769)/Control!$B$7)+1))</x:f>
        <x:v>4</x:v>
      </x:c>
      <x:c r="J769" s="73" t="n">
        <x:f>INDEX(Drivers!$H$8:$H$13,B769)</x:f>
        <x:v>2</x:v>
      </x:c>
      <x:c r="K769" s="73" t="n">
        <x:f>IF(J769=1,INDEX(TrackMap!$I$8:$I$141,H769),INDEX(TrackMap!$L$8:$L$141,H769))</x:f>
        <x:v>1011</x:v>
      </x:c>
      <x:c r="L769" s="73" t="str">
        <x:f>INDEX(TrackMap!$F$8:$F$141,H769)</x:f>
        <x:v>↑</x:v>
      </x:c>
      <x:c r="M769" s="87" t="n">
        <x:f>MAX(0,G769/Control!$B$17)</x:f>
        <x:v>0.6526440498397258</x:v>
      </x:c>
      <x:c r="N769" s="73" t="n">
        <x:f>IF(N763&gt;0,N763,IF(G769&gt;=Control!$B$17,A769,0))</x:f>
        <x:v>0</x:v>
      </x:c>
      <x:c r="O769" s="91" t="n">
        <x:f>IF(N769&gt;0,Control!$B$17+Control!$B$8+1-N769,G769)-B769/100000</x:f>
        <x:v>437.27145339261625</x:v>
      </x:c>
      <x:c r="P769" s="73" t="n">
        <x:f>COUNTIF($O$764:$O$769,"&gt;"&amp;O769)+1</x:f>
        <x:v>2</x:v>
      </x:c>
      <x:c r="Q769" s="83" t="n">
        <x:f>MAX($G$764:$G$769)-G769</x:f>
        <x:v>1.9907485398664448</x:v>
      </x:c>
      <x:c r="R769" s="73" t="str">
        <x:f>INDEX(TrackMap!$B$8:$B$141,H769)</x:f>
        <x:v>西侧上坡弯</x:v>
      </x:c>
    </x:row>
    <x:row r="770" ht="20" customHeight="1">
      <x:c r="A770" s="73" t="n">
        <x:v>127</x:v>
      </x:c>
      <x:c r="B770" s="73" t="n">
        <x:v>1</x:v>
      </x:c>
      <x:c r="C770" s="73" t="str">
        <x:f>INDEX(Drivers!$B$8:$B$13,B770)</x:f>
        <x:v>赤焰</x:v>
      </x:c>
      <x:c r="D770" s="83" t="n">
        <x:f>G764</x:f>
        <x:v>433.2079697237841</x:v>
      </x:c>
      <x:c r="E770" s="83" t="str">
        <x:f>IF(A770=0,"GRID",IF(D770&gt;=Control!$B$17,"FINISHED",IF(AND(A770&gt;=INDEX(Drivers!$G$8:$G$13,B770),A770&lt;INDEX(Drivers!$G$8:$G$13,B770)+INDEX(Drivers!$J$8:$J$13,B770)),"PIT",IF(MOD(A770+INDEX(Drivers!$F$8:$F$13,B770),Control!$B$11)&lt;Control!$B$13,"BOOST","RACE"))))</x:f>
        <x:v>RACE</x:v>
      </x:c>
      <x:c r="F770" s="83" t="n">
        <x:f>IF(OR(E770="GRID",E770="FINISHED",E770="PIT"),0,MAX(Control!$B$15,(INDEX(Drivers!$D$8:$D$13,B770)+INDEX(Drivers!$E$8:$E$13,B770)*SIN((A770+INDEX(Drivers!$F$8:$F$13,B770)+Control!$B$16)*Control!$B$14))*INDEX(TrackMap!$M$8:$M$141,MOD(INT(D770)-1,Control!$B$7)+1)*IF(E770="BOOST",Control!$B$12,1)))</x:f>
        <x:v>4.169656479186065</x:v>
      </x:c>
      <x:c r="G770" s="83" t="n">
        <x:f>IF(A770=0,D770,MIN(Control!$B$17,D770+F770))</x:f>
        <x:v>437.3776262029702</x:v>
      </x:c>
      <x:c r="H770" s="73" t="n">
        <x:f>MOD(INT(G770)-1,Control!$B$7)+1</x:f>
        <x:v>35</x:v>
      </x:c>
      <x:c r="I770" s="73" t="n">
        <x:f>MIN(Control!$B$6,MAX(1,INT(MAX(0,G770)/Control!$B$7)+1))</x:f>
        <x:v>4</x:v>
      </x:c>
      <x:c r="J770" s="73" t="n">
        <x:f>INDEX(Drivers!$H$8:$H$13,B770)</x:f>
        <x:v>1</x:v>
      </x:c>
      <x:c r="K770" s="73" t="n">
        <x:f>IF(J770=1,INDEX(TrackMap!$I$8:$I$141,H770),INDEX(TrackMap!$L$8:$L$141,H770))</x:f>
        <x:v>1010</x:v>
      </x:c>
      <x:c r="L770" s="73" t="str">
        <x:f>INDEX(TrackMap!$F$8:$F$141,H770)</x:f>
        <x:v>↑</x:v>
      </x:c>
      <x:c r="M770" s="87" t="n">
        <x:f>MAX(0,G770/Control!$B$17)</x:f>
        <x:v>0.6528024271686123</x:v>
      </x:c>
      <x:c r="N770" s="73" t="n">
        <x:f>IF(N764&gt;0,N764,IF(G770&gt;=Control!$B$17,A770,0))</x:f>
        <x:v>0</x:v>
      </x:c>
      <x:c r="O770" s="91" t="n">
        <x:f>IF(N770&gt;0,Control!$B$17+Control!$B$8+1-N770,G770)-B770/100000</x:f>
        <x:v>437.3776162029702</x:v>
      </x:c>
      <x:c r="P770" s="73" t="n">
        <x:f>COUNTIF($O$770:$O$775,"&gt;"&amp;O770)+1</x:f>
        <x:v>3</x:v>
      </x:c>
      <x:c r="Q770" s="83" t="n">
        <x:f>MAX($G$770:$G$775)-G770</x:f>
        <x:v>4.618471626073358</x:v>
      </x:c>
      <x:c r="R770" s="73" t="str">
        <x:f>INDEX(TrackMap!$B$8:$B$141,H770)</x:f>
        <x:v>西侧上坡弯</x:v>
      </x:c>
    </x:row>
    <x:row r="771" ht="20" customHeight="1">
      <x:c r="A771" s="73" t="n">
        <x:v>127</x:v>
      </x:c>
      <x:c r="B771" s="73" t="n">
        <x:v>2</x:v>
      </x:c>
      <x:c r="C771" s="73" t="str">
        <x:f>INDEX(Drivers!$B$8:$B$13,B771)</x:f>
        <x:v>蓝电</x:v>
      </x:c>
      <x:c r="D771" s="83" t="n">
        <x:f>G765</x:f>
        <x:v>417.44250186585623</x:v>
      </x:c>
      <x:c r="E771" s="83" t="str">
        <x:f>IF(A771=0,"GRID",IF(D771&gt;=Control!$B$17,"FINISHED",IF(AND(A771&gt;=INDEX(Drivers!$G$8:$G$13,B771),A771&lt;INDEX(Drivers!$G$8:$G$13,B771)+INDEX(Drivers!$J$8:$J$13,B771)),"PIT",IF(MOD(A771+INDEX(Drivers!$F$8:$F$13,B771),Control!$B$11)&lt;Control!$B$13,"BOOST","RACE"))))</x:f>
        <x:v>RACE</x:v>
      </x:c>
      <x:c r="F771" s="83" t="n">
        <x:f>IF(OR(E771="GRID",E771="FINISHED",E771="PIT"),0,MAX(Control!$B$15,(INDEX(Drivers!$D$8:$D$13,B771)+INDEX(Drivers!$E$8:$E$13,B771)*SIN((A771+INDEX(Drivers!$F$8:$F$13,B771)+Control!$B$16)*Control!$B$14))*INDEX(TrackMap!$M$8:$M$141,MOD(INT(D771)-1,Control!$B$7)+1)*IF(E771="BOOST",Control!$B$12,1)))</x:f>
        <x:v>2.3354636353546145</x:v>
      </x:c>
      <x:c r="G771" s="83" t="n">
        <x:f>IF(A771=0,D771,MIN(Control!$B$17,D771+F771))</x:f>
        <x:v>419.7779655012109</x:v>
      </x:c>
      <x:c r="H771" s="73" t="n">
        <x:f>MOD(INT(G771)-1,Control!$B$7)+1</x:f>
        <x:v>17</x:v>
      </x:c>
      <x:c r="I771" s="73" t="n">
        <x:f>MIN(Control!$B$6,MAX(1,INT(MAX(0,G771)/Control!$B$7)+1))</x:f>
        <x:v>4</x:v>
      </x:c>
      <x:c r="J771" s="73" t="n">
        <x:f>INDEX(Drivers!$H$8:$H$13,B771)</x:f>
        <x:v>2</x:v>
      </x:c>
      <x:c r="K771" s="73" t="n">
        <x:f>IF(J771=1,INDEX(TrackMap!$I$8:$I$141,H771),INDEX(TrackMap!$L$8:$L$141,H771))</x:f>
        <x:v>2504</x:v>
      </x:c>
      <x:c r="L771" s="73" t="str">
        <x:f>INDEX(TrackMap!$F$8:$F$141,H771)</x:f>
        <x:v>↑</x:v>
      </x:c>
      <x:c r="M771" s="87" t="n">
        <x:f>MAX(0,G771/Control!$B$17)</x:f>
        <x:v>0.6265342768674789</x:v>
      </x:c>
      <x:c r="N771" s="73" t="n">
        <x:f>IF(N765&gt;0,N765,IF(G771&gt;=Control!$B$17,A771,0))</x:f>
        <x:v>0</x:v>
      </x:c>
      <x:c r="O771" s="91" t="n">
        <x:f>IF(N771&gt;0,Control!$B$17+Control!$B$8+1-N771,G771)-B771/100000</x:f>
        <x:v>419.77794550121087</x:v>
      </x:c>
      <x:c r="P771" s="73" t="n">
        <x:f>COUNTIF($O$770:$O$775,"&gt;"&amp;O771)+1</x:f>
        <x:v>6</x:v>
      </x:c>
      <x:c r="Q771" s="83" t="n">
        <x:f>MAX($G$770:$G$775)-G771</x:f>
        <x:v>22.218132327832677</x:v>
      </x:c>
      <x:c r="R771" s="73" t="str">
        <x:f>INDEX(TrackMap!$B$8:$B$141,H771)</x:f>
        <x:v>西侧回弯</x:v>
      </x:c>
    </x:row>
    <x:row r="772" ht="20" customHeight="1">
      <x:c r="A772" s="73" t="n">
        <x:v>127</x:v>
      </x:c>
      <x:c r="B772" s="73" t="n">
        <x:v>3</x:v>
      </x:c>
      <x:c r="C772" s="73" t="str">
        <x:f>INDEX(Drivers!$B$8:$B$13,B772)</x:f>
        <x:v>金翼</x:v>
      </x:c>
      <x:c r="D772" s="83" t="n">
        <x:f>G766</x:f>
        <x:v>435.43835070651596</x:v>
      </x:c>
      <x:c r="E772" s="83" t="str">
        <x:f>IF(A772=0,"GRID",IF(D772&gt;=Control!$B$17,"FINISHED",IF(AND(A772&gt;=INDEX(Drivers!$G$8:$G$13,B772),A772&lt;INDEX(Drivers!$G$8:$G$13,B772)+INDEX(Drivers!$J$8:$J$13,B772)),"PIT",IF(MOD(A772+INDEX(Drivers!$F$8:$F$13,B772),Control!$B$11)&lt;Control!$B$13,"BOOST","RACE"))))</x:f>
        <x:v>PIT</x:v>
      </x:c>
      <x:c r="F772" s="83" t="n">
        <x:f>IF(OR(E772="GRID",E772="FINISHED",E772="PIT"),0,MAX(Control!$B$15,(INDEX(Drivers!$D$8:$D$13,B772)+INDEX(Drivers!$E$8:$E$13,B772)*SIN((A772+INDEX(Drivers!$F$8:$F$13,B772)+Control!$B$16)*Control!$B$14))*INDEX(TrackMap!$M$8:$M$141,MOD(INT(D772)-1,Control!$B$7)+1)*IF(E772="BOOST",Control!$B$12,1)))</x:f>
        <x:v>0</x:v>
      </x:c>
      <x:c r="G772" s="83" t="n">
        <x:f>IF(A772=0,D772,MIN(Control!$B$17,D772+F772))</x:f>
        <x:v>435.43835070651596</x:v>
      </x:c>
      <x:c r="H772" s="73" t="n">
        <x:f>MOD(INT(G772)-1,Control!$B$7)+1</x:f>
        <x:v>33</x:v>
      </x:c>
      <x:c r="I772" s="73" t="n">
        <x:f>MIN(Control!$B$6,MAX(1,INT(MAX(0,G772)/Control!$B$7)+1))</x:f>
        <x:v>4</x:v>
      </x:c>
      <x:c r="J772" s="73" t="n">
        <x:f>INDEX(Drivers!$H$8:$H$13,B772)</x:f>
        <x:v>1</x:v>
      </x:c>
      <x:c r="K772" s="73" t="n">
        <x:f>IF(J772=1,INDEX(TrackMap!$I$8:$I$141,H772),INDEX(TrackMap!$L$8:$L$141,H772))</x:f>
        <x:v>1210</x:v>
      </x:c>
      <x:c r="L772" s="73" t="str">
        <x:f>INDEX(TrackMap!$F$8:$F$141,H772)</x:f>
        <x:v>↑</x:v>
      </x:c>
      <x:c r="M772" s="87" t="n">
        <x:f>MAX(0,G772/Control!$B$17)</x:f>
        <x:v>0.6499079861291283</x:v>
      </x:c>
      <x:c r="N772" s="73" t="n">
        <x:f>IF(N766&gt;0,N766,IF(G772&gt;=Control!$B$17,A772,0))</x:f>
        <x:v>0</x:v>
      </x:c>
      <x:c r="O772" s="91" t="n">
        <x:f>IF(N772&gt;0,Control!$B$17+Control!$B$8+1-N772,G772)-B772/100000</x:f>
        <x:v>435.438320706516</x:v>
      </x:c>
      <x:c r="P772" s="73" t="n">
        <x:f>COUNTIF($O$770:$O$775,"&gt;"&amp;O772)+1</x:f>
        <x:v>4</x:v>
      </x:c>
      <x:c r="Q772" s="83" t="n">
        <x:f>MAX($G$770:$G$775)-G772</x:f>
        <x:v>6.557747122527587</x:v>
      </x:c>
      <x:c r="R772" s="73" t="str">
        <x:f>INDEX(TrackMap!$B$8:$B$141,H772)</x:f>
        <x:v>西侧上坡弯</x:v>
      </x:c>
    </x:row>
    <x:row r="773" ht="20" customHeight="1">
      <x:c r="A773" s="73" t="n">
        <x:v>127</x:v>
      </x:c>
      <x:c r="B773" s="73" t="n">
        <x:v>4</x:v>
      </x:c>
      <x:c r="C773" s="73" t="str">
        <x:f>INDEX(Drivers!$B$8:$B$13,B773)</x:f>
        <x:v>紫影</x:v>
      </x:c>
      <x:c r="D773" s="83" t="n">
        <x:f>G767</x:f>
        <x:v>421.05538381644266</x:v>
      </x:c>
      <x:c r="E773" s="83" t="str">
        <x:f>IF(A773=0,"GRID",IF(D773&gt;=Control!$B$17,"FINISHED",IF(AND(A773&gt;=INDEX(Drivers!$G$8:$G$13,B773),A773&lt;INDEX(Drivers!$G$8:$G$13,B773)+INDEX(Drivers!$J$8:$J$13,B773)),"PIT",IF(MOD(A773+INDEX(Drivers!$F$8:$F$13,B773),Control!$B$11)&lt;Control!$B$13,"BOOST","RACE"))))</x:f>
        <x:v>RACE</x:v>
      </x:c>
      <x:c r="F773" s="83" t="n">
        <x:f>IF(OR(E773="GRID",E773="FINISHED",E773="PIT"),0,MAX(Control!$B$15,(INDEX(Drivers!$D$8:$D$13,B773)+INDEX(Drivers!$E$8:$E$13,B773)*SIN((A773+INDEX(Drivers!$F$8:$F$13,B773)+Control!$B$16)*Control!$B$14))*INDEX(TrackMap!$M$8:$M$141,MOD(INT(D773)-1,Control!$B$7)+1)*IF(E773="BOOST",Control!$B$12,1)))</x:f>
        <x:v>2.6961886032966875</x:v>
      </x:c>
      <x:c r="G773" s="83" t="n">
        <x:f>IF(A773=0,D773,MIN(Control!$B$17,D773+F773))</x:f>
        <x:v>423.7515724197393</x:v>
      </x:c>
      <x:c r="H773" s="73" t="n">
        <x:f>MOD(INT(G773)-1,Control!$B$7)+1</x:f>
        <x:v>21</x:v>
      </x:c>
      <x:c r="I773" s="73" t="n">
        <x:f>MIN(Control!$B$6,MAX(1,INT(MAX(0,G773)/Control!$B$7)+1))</x:f>
        <x:v>4</x:v>
      </x:c>
      <x:c r="J773" s="73" t="n">
        <x:f>INDEX(Drivers!$H$8:$H$13,B773)</x:f>
        <x:v>2</x:v>
      </x:c>
      <x:c r="K773" s="73" t="n">
        <x:f>IF(J773=1,INDEX(TrackMap!$I$8:$I$141,H773),INDEX(TrackMap!$L$8:$L$141,H773))</x:f>
        <x:v>2106</x:v>
      </x:c>
      <x:c r="L773" s="73" t="str">
        <x:f>INDEX(TrackMap!$F$8:$F$141,H773)</x:f>
        <x:v>→</x:v>
      </x:c>
      <x:c r="M773" s="87" t="n">
        <x:f>MAX(0,G773/Control!$B$17)</x:f>
        <x:v>0.6324650334622975</x:v>
      </x:c>
      <x:c r="N773" s="73" t="n">
        <x:f>IF(N767&gt;0,N767,IF(G773&gt;=Control!$B$17,A773,0))</x:f>
        <x:v>0</x:v>
      </x:c>
      <x:c r="O773" s="91" t="n">
        <x:f>IF(N773&gt;0,Control!$B$17+Control!$B$8+1-N773,G773)-B773/100000</x:f>
        <x:v>423.7515324197393</x:v>
      </x:c>
      <x:c r="P773" s="73" t="n">
        <x:f>COUNTIF($O$770:$O$775,"&gt;"&amp;O773)+1</x:f>
        <x:v>5</x:v>
      </x:c>
      <x:c r="Q773" s="83" t="n">
        <x:f>MAX($G$770:$G$775)-G773</x:f>
        <x:v>18.24452540930423</x:v>
      </x:c>
      <x:c r="R773" s="73" t="str">
        <x:f>INDEX(TrackMap!$B$8:$B$141,H773)</x:f>
        <x:v>短直道</x:v>
      </x:c>
    </x:row>
    <x:row r="774" ht="20" customHeight="1">
      <x:c r="A774" s="73" t="n">
        <x:v>127</x:v>
      </x:c>
      <x:c r="B774" s="73" t="n">
        <x:v>5</x:v>
      </x:c>
      <x:c r="C774" s="73" t="str">
        <x:f>INDEX(Drivers!$B$8:$B$13,B774)</x:f>
        <x:v>青锋</x:v>
      </x:c>
      <x:c r="D774" s="83" t="n">
        <x:f>G768</x:f>
        <x:v>439.2622619324827</x:v>
      </x:c>
      <x:c r="E774" s="83" t="str">
        <x:f>IF(A774=0,"GRID",IF(D774&gt;=Control!$B$17,"FINISHED",IF(AND(A774&gt;=INDEX(Drivers!$G$8:$G$13,B774),A774&lt;INDEX(Drivers!$G$8:$G$13,B774)+INDEX(Drivers!$J$8:$J$13,B774)),"PIT",IF(MOD(A774+INDEX(Drivers!$F$8:$F$13,B774),Control!$B$11)&lt;Control!$B$13,"BOOST","RACE"))))</x:f>
        <x:v>RACE</x:v>
      </x:c>
      <x:c r="F774" s="83" t="n">
        <x:f>IF(OR(E774="GRID",E774="FINISHED",E774="PIT"),0,MAX(Control!$B$15,(INDEX(Drivers!$D$8:$D$13,B774)+INDEX(Drivers!$E$8:$E$13,B774)*SIN((A774+INDEX(Drivers!$F$8:$F$13,B774)+Control!$B$16)*Control!$B$14))*INDEX(TrackMap!$M$8:$M$141,MOD(INT(D774)-1,Control!$B$7)+1)*IF(E774="BOOST",Control!$B$12,1)))</x:f>
        <x:v>2.73383589656085</x:v>
      </x:c>
      <x:c r="G774" s="83" t="n">
        <x:f>IF(A774=0,D774,MIN(Control!$B$17,D774+F774))</x:f>
        <x:v>441.99609782904355</x:v>
      </x:c>
      <x:c r="H774" s="73" t="n">
        <x:f>MOD(INT(G774)-1,Control!$B$7)+1</x:f>
        <x:v>39</x:v>
      </x:c>
      <x:c r="I774" s="73" t="n">
        <x:f>MIN(Control!$B$6,MAX(1,INT(MAX(0,G774)/Control!$B$7)+1))</x:f>
        <x:v>4</x:v>
      </x:c>
      <x:c r="J774" s="73" t="n">
        <x:f>INDEX(Drivers!$H$8:$H$13,B774)</x:f>
        <x:v>1</x:v>
      </x:c>
      <x:c r="K774" s="73" t="n">
        <x:f>IF(J774=1,INDEX(TrackMap!$I$8:$I$141,H774),INDEX(TrackMap!$L$8:$L$141,H774))</x:f>
        <x:v>815</x:v>
      </x:c>
      <x:c r="L774" s="73" t="str">
        <x:f>INDEX(TrackMap!$F$8:$F$141,H774)</x:f>
        <x:v>→</x:v>
      </x:c>
      <x:c r="M774" s="87" t="n">
        <x:f>MAX(0,G774/Control!$B$17)</x:f>
        <x:v>0.6596956684015576</x:v>
      </x:c>
      <x:c r="N774" s="73" t="n">
        <x:f>IF(N768&gt;0,N768,IF(G774&gt;=Control!$B$17,A774,0))</x:f>
        <x:v>0</x:v>
      </x:c>
      <x:c r="O774" s="91" t="n">
        <x:f>IF(N774&gt;0,Control!$B$17+Control!$B$8+1-N774,G774)-B774/100000</x:f>
        <x:v>441.99604782904356</x:v>
      </x:c>
      <x:c r="P774" s="73" t="n">
        <x:f>COUNTIF($O$770:$O$775,"&gt;"&amp;O774)+1</x:f>
        <x:v>1</x:v>
      </x:c>
      <x:c r="Q774" s="83" t="n">
        <x:f>MAX($G$770:$G$775)-G774</x:f>
        <x:v>0</x:v>
      </x:c>
      <x:c r="R774" s="73" t="str">
        <x:f>INDEX(TrackMap!$B$8:$B$141,H774)</x:f>
        <x:v>西侧发卡弯</x:v>
      </x:c>
    </x:row>
    <x:row r="775" ht="20" customHeight="1">
      <x:c r="A775" s="73" t="n">
        <x:v>127</x:v>
      </x:c>
      <x:c r="B775" s="73" t="n">
        <x:v>6</x:v>
      </x:c>
      <x:c r="C775" s="73" t="str">
        <x:f>INDEX(Drivers!$B$8:$B$13,B775)</x:f>
        <x:v>玫速</x:v>
      </x:c>
      <x:c r="D775" s="83" t="n">
        <x:f>G769</x:f>
        <x:v>437.27151339261627</x:v>
      </x:c>
      <x:c r="E775" s="83" t="str">
        <x:f>IF(A775=0,"GRID",IF(D775&gt;=Control!$B$17,"FINISHED",IF(AND(A775&gt;=INDEX(Drivers!$G$8:$G$13,B775),A775&lt;INDEX(Drivers!$G$8:$G$13,B775)+INDEX(Drivers!$J$8:$J$13,B775)),"PIT",IF(MOD(A775+INDEX(Drivers!$F$8:$F$13,B775),Control!$B$11)&lt;Control!$B$13,"BOOST","RACE"))))</x:f>
        <x:v>RACE</x:v>
      </x:c>
      <x:c r="F775" s="83" t="n">
        <x:f>IF(OR(E775="GRID",E775="FINISHED",E775="PIT"),0,MAX(Control!$B$15,(INDEX(Drivers!$D$8:$D$13,B775)+INDEX(Drivers!$E$8:$E$13,B775)*SIN((A775+INDEX(Drivers!$F$8:$F$13,B775)+Control!$B$16)*Control!$B$14))*INDEX(TrackMap!$M$8:$M$141,MOD(INT(D775)-1,Control!$B$7)+1)*IF(E775="BOOST",Control!$B$12,1)))</x:f>
        <x:v>2.7282264514644154</x:v>
      </x:c>
      <x:c r="G775" s="83" t="n">
        <x:f>IF(A775=0,D775,MIN(Control!$B$17,D775+F775))</x:f>
        <x:v>439.9997398440807</x:v>
      </x:c>
      <x:c r="H775" s="73" t="n">
        <x:f>MOD(INT(G775)-1,Control!$B$7)+1</x:f>
        <x:v>37</x:v>
      </x:c>
      <x:c r="I775" s="73" t="n">
        <x:f>MIN(Control!$B$6,MAX(1,INT(MAX(0,G775)/Control!$B$7)+1))</x:f>
        <x:v>4</x:v>
      </x:c>
      <x:c r="J775" s="73" t="n">
        <x:f>INDEX(Drivers!$H$8:$H$13,B775)</x:f>
        <x:v>2</x:v>
      </x:c>
      <x:c r="K775" s="73" t="n">
        <x:f>IF(J775=1,INDEX(TrackMap!$I$8:$I$141,H775),INDEX(TrackMap!$L$8:$L$141,H775))</x:f>
        <x:v>913</x:v>
      </x:c>
      <x:c r="L775" s="73" t="str">
        <x:f>INDEX(TrackMap!$F$8:$F$141,H775)</x:f>
        <x:v>→</x:v>
      </x:c>
      <x:c r="M775" s="87" t="n">
        <x:f>MAX(0,G775/Control!$B$17)</x:f>
        <x:v>0.6567160296180309</x:v>
      </x:c>
      <x:c r="N775" s="73" t="n">
        <x:f>IF(N769&gt;0,N769,IF(G775&gt;=Control!$B$17,A775,0))</x:f>
        <x:v>0</x:v>
      </x:c>
      <x:c r="O775" s="91" t="n">
        <x:f>IF(N775&gt;0,Control!$B$17+Control!$B$8+1-N775,G775)-B775/100000</x:f>
        <x:v>439.9996798440807</x:v>
      </x:c>
      <x:c r="P775" s="73" t="n">
        <x:f>COUNTIF($O$770:$O$775,"&gt;"&amp;O775)+1</x:f>
        <x:v>2</x:v>
      </x:c>
      <x:c r="Q775" s="83" t="n">
        <x:f>MAX($G$770:$G$775)-G775</x:f>
        <x:v>1.9963579849628559</x:v>
      </x:c>
      <x:c r="R775" s="73" t="str">
        <x:f>INDEX(TrackMap!$B$8:$B$141,H775)</x:f>
        <x:v>西侧发卡弯</x:v>
      </x:c>
    </x:row>
    <x:row r="776" ht="20" customHeight="1">
      <x:c r="A776" s="73" t="n">
        <x:v>128</x:v>
      </x:c>
      <x:c r="B776" s="73" t="n">
        <x:v>1</x:v>
      </x:c>
      <x:c r="C776" s="73" t="str">
        <x:f>INDEX(Drivers!$B$8:$B$13,B776)</x:f>
        <x:v>赤焰</x:v>
      </x:c>
      <x:c r="D776" s="83" t="n">
        <x:f>G770</x:f>
        <x:v>437.3776262029702</x:v>
      </x:c>
      <x:c r="E776" s="83" t="str">
        <x:f>IF(A776=0,"GRID",IF(D776&gt;=Control!$B$17,"FINISHED",IF(AND(A776&gt;=INDEX(Drivers!$G$8:$G$13,B776),A776&lt;INDEX(Drivers!$G$8:$G$13,B776)+INDEX(Drivers!$J$8:$J$13,B776)),"PIT",IF(MOD(A776+INDEX(Drivers!$F$8:$F$13,B776),Control!$B$11)&lt;Control!$B$13,"BOOST","RACE"))))</x:f>
        <x:v>RACE</x:v>
      </x:c>
      <x:c r="F776" s="83" t="n">
        <x:f>IF(OR(E776="GRID",E776="FINISHED",E776="PIT"),0,MAX(Control!$B$15,(INDEX(Drivers!$D$8:$D$13,B776)+INDEX(Drivers!$E$8:$E$13,B776)*SIN((A776+INDEX(Drivers!$F$8:$F$13,B776)+Control!$B$16)*Control!$B$14))*INDEX(TrackMap!$M$8:$M$141,MOD(INT(D776)-1,Control!$B$7)+1)*IF(E776="BOOST",Control!$B$12,1)))</x:f>
        <x:v>3.1740865988038913</x:v>
      </x:c>
      <x:c r="G776" s="83" t="n">
        <x:f>IF(A776=0,D776,MIN(Control!$B$17,D776+F776))</x:f>
        <x:v>440.5517128017741</x:v>
      </x:c>
      <x:c r="H776" s="73" t="n">
        <x:f>MOD(INT(G776)-1,Control!$B$7)+1</x:f>
        <x:v>38</x:v>
      </x:c>
      <x:c r="I776" s="73" t="n">
        <x:f>MIN(Control!$B$6,MAX(1,INT(MAX(0,G776)/Control!$B$7)+1))</x:f>
        <x:v>4</x:v>
      </x:c>
      <x:c r="J776" s="73" t="n">
        <x:f>INDEX(Drivers!$H$8:$H$13,B776)</x:f>
        <x:v>1</x:v>
      </x:c>
      <x:c r="K776" s="73" t="n">
        <x:f>IF(J776=1,INDEX(TrackMap!$I$8:$I$141,H776),INDEX(TrackMap!$L$8:$L$141,H776))</x:f>
        <x:v>814</x:v>
      </x:c>
      <x:c r="L776" s="73" t="str">
        <x:f>INDEX(TrackMap!$F$8:$F$141,H776)</x:f>
        <x:v>→</x:v>
      </x:c>
      <x:c r="M776" s="87" t="n">
        <x:f>MAX(0,G776/Control!$B$17)</x:f>
        <x:v>0.6575398698533942</x:v>
      </x:c>
      <x:c r="N776" s="73" t="n">
        <x:f>IF(N770&gt;0,N770,IF(G776&gt;=Control!$B$17,A776,0))</x:f>
        <x:v>0</x:v>
      </x:c>
      <x:c r="O776" s="91" t="n">
        <x:f>IF(N776&gt;0,Control!$B$17+Control!$B$8+1-N776,G776)-B776/100000</x:f>
        <x:v>440.5517028017741</x:v>
      </x:c>
      <x:c r="P776" s="73" t="n">
        <x:f>COUNTIF($O$776:$O$781,"&gt;"&amp;O776)+1</x:f>
        <x:v>3</x:v>
      </x:c>
      <x:c r="Q776" s="83" t="n">
        <x:f>MAX($G$776:$G$781)-G776</x:f>
        <x:v>4.042458603629541</x:v>
      </x:c>
      <x:c r="R776" s="73" t="str">
        <x:f>INDEX(TrackMap!$B$8:$B$141,H776)</x:f>
        <x:v>西侧发卡弯</x:v>
      </x:c>
    </x:row>
    <x:row r="777" ht="20" customHeight="1">
      <x:c r="A777" s="73" t="n">
        <x:v>128</x:v>
      </x:c>
      <x:c r="B777" s="73" t="n">
        <x:v>2</x:v>
      </x:c>
      <x:c r="C777" s="73" t="str">
        <x:f>INDEX(Drivers!$B$8:$B$13,B777)</x:f>
        <x:v>蓝电</x:v>
      </x:c>
      <x:c r="D777" s="83" t="n">
        <x:f>G771</x:f>
        <x:v>419.7779655012109</x:v>
      </x:c>
      <x:c r="E777" s="83" t="str">
        <x:f>IF(A777=0,"GRID",IF(D777&gt;=Control!$B$17,"FINISHED",IF(AND(A777&gt;=INDEX(Drivers!$G$8:$G$13,B777),A777&lt;INDEX(Drivers!$G$8:$G$13,B777)+INDEX(Drivers!$J$8:$J$13,B777)),"PIT",IF(MOD(A777+INDEX(Drivers!$F$8:$F$13,B777),Control!$B$11)&lt;Control!$B$13,"BOOST","RACE"))))</x:f>
        <x:v>RACE</x:v>
      </x:c>
      <x:c r="F777" s="83" t="n">
        <x:f>IF(OR(E777="GRID",E777="FINISHED",E777="PIT"),0,MAX(Control!$B$15,(INDEX(Drivers!$D$8:$D$13,B777)+INDEX(Drivers!$E$8:$E$13,B777)*SIN((A777+INDEX(Drivers!$F$8:$F$13,B777)+Control!$B$16)*Control!$B$14))*INDEX(TrackMap!$M$8:$M$141,MOD(INT(D777)-1,Control!$B$7)+1)*IF(E777="BOOST",Control!$B$12,1)))</x:f>
        <x:v>2.3298050490610014</x:v>
      </x:c>
      <x:c r="G777" s="83" t="n">
        <x:f>IF(A777=0,D777,MIN(Control!$B$17,D777+F777))</x:f>
        <x:v>422.1077705502719</x:v>
      </x:c>
      <x:c r="H777" s="73" t="n">
        <x:f>MOD(INT(G777)-1,Control!$B$7)+1</x:f>
        <x:v>20</x:v>
      </x:c>
      <x:c r="I777" s="73" t="n">
        <x:f>MIN(Control!$B$6,MAX(1,INT(MAX(0,G777)/Control!$B$7)+1))</x:f>
        <x:v>4</x:v>
      </x:c>
      <x:c r="J777" s="73" t="n">
        <x:f>INDEX(Drivers!$H$8:$H$13,B777)</x:f>
        <x:v>2</x:v>
      </x:c>
      <x:c r="K777" s="73" t="n">
        <x:f>IF(J777=1,INDEX(TrackMap!$I$8:$I$141,H777),INDEX(TrackMap!$L$8:$L$141,H777))</x:f>
        <x:v>2205</x:v>
      </x:c>
      <x:c r="L777" s="73" t="str">
        <x:f>INDEX(TrackMap!$F$8:$F$141,H777)</x:f>
        <x:v>↑</x:v>
      </x:c>
      <x:c r="M777" s="87" t="n">
        <x:f>MAX(0,G777/Control!$B$17)</x:f>
        <x:v>0.6300115978362267</x:v>
      </x:c>
      <x:c r="N777" s="73" t="n">
        <x:f>IF(N771&gt;0,N771,IF(G777&gt;=Control!$B$17,A777,0))</x:f>
        <x:v>0</x:v>
      </x:c>
      <x:c r="O777" s="91" t="n">
        <x:f>IF(N777&gt;0,Control!$B$17+Control!$B$8+1-N777,G777)-B777/100000</x:f>
        <x:v>422.1077505502719</x:v>
      </x:c>
      <x:c r="P777" s="73" t="n">
        <x:f>COUNTIF($O$776:$O$781,"&gt;"&amp;O777)+1</x:f>
        <x:v>6</x:v>
      </x:c>
      <x:c r="Q777" s="83" t="n">
        <x:f>MAX($G$776:$G$781)-G777</x:f>
        <x:v>22.486400855131762</x:v>
      </x:c>
      <x:c r="R777" s="73" t="str">
        <x:f>INDEX(TrackMap!$B$8:$B$141,H777)</x:f>
        <x:v>西侧回弯</x:v>
      </x:c>
    </x:row>
    <x:row r="778" ht="20" customHeight="1">
      <x:c r="A778" s="73" t="n">
        <x:v>128</x:v>
      </x:c>
      <x:c r="B778" s="73" t="n">
        <x:v>3</x:v>
      </x:c>
      <x:c r="C778" s="73" t="str">
        <x:f>INDEX(Drivers!$B$8:$B$13,B778)</x:f>
        <x:v>金翼</x:v>
      </x:c>
      <x:c r="D778" s="83" t="n">
        <x:f>G772</x:f>
        <x:v>435.43835070651596</x:v>
      </x:c>
      <x:c r="E778" s="83" t="str">
        <x:f>IF(A778=0,"GRID",IF(D778&gt;=Control!$B$17,"FINISHED",IF(AND(A778&gt;=INDEX(Drivers!$G$8:$G$13,B778),A778&lt;INDEX(Drivers!$G$8:$G$13,B778)+INDEX(Drivers!$J$8:$J$13,B778)),"PIT",IF(MOD(A778+INDEX(Drivers!$F$8:$F$13,B778),Control!$B$11)&lt;Control!$B$13,"BOOST","RACE"))))</x:f>
        <x:v>PIT</x:v>
      </x:c>
      <x:c r="F778" s="83" t="n">
        <x:f>IF(OR(E778="GRID",E778="FINISHED",E778="PIT"),0,MAX(Control!$B$15,(INDEX(Drivers!$D$8:$D$13,B778)+INDEX(Drivers!$E$8:$E$13,B778)*SIN((A778+INDEX(Drivers!$F$8:$F$13,B778)+Control!$B$16)*Control!$B$14))*INDEX(TrackMap!$M$8:$M$141,MOD(INT(D778)-1,Control!$B$7)+1)*IF(E778="BOOST",Control!$B$12,1)))</x:f>
        <x:v>0</x:v>
      </x:c>
      <x:c r="G778" s="83" t="n">
        <x:f>IF(A778=0,D778,MIN(Control!$B$17,D778+F778))</x:f>
        <x:v>435.43835070651596</x:v>
      </x:c>
      <x:c r="H778" s="73" t="n">
        <x:f>MOD(INT(G778)-1,Control!$B$7)+1</x:f>
        <x:v>33</x:v>
      </x:c>
      <x:c r="I778" s="73" t="n">
        <x:f>MIN(Control!$B$6,MAX(1,INT(MAX(0,G778)/Control!$B$7)+1))</x:f>
        <x:v>4</x:v>
      </x:c>
      <x:c r="J778" s="73" t="n">
        <x:f>INDEX(Drivers!$H$8:$H$13,B778)</x:f>
        <x:v>1</x:v>
      </x:c>
      <x:c r="K778" s="73" t="n">
        <x:f>IF(J778=1,INDEX(TrackMap!$I$8:$I$141,H778),INDEX(TrackMap!$L$8:$L$141,H778))</x:f>
        <x:v>1210</x:v>
      </x:c>
      <x:c r="L778" s="73" t="str">
        <x:f>INDEX(TrackMap!$F$8:$F$141,H778)</x:f>
        <x:v>↑</x:v>
      </x:c>
      <x:c r="M778" s="87" t="n">
        <x:f>MAX(0,G778/Control!$B$17)</x:f>
        <x:v>0.6499079861291283</x:v>
      </x:c>
      <x:c r="N778" s="73" t="n">
        <x:f>IF(N772&gt;0,N772,IF(G778&gt;=Control!$B$17,A778,0))</x:f>
        <x:v>0</x:v>
      </x:c>
      <x:c r="O778" s="91" t="n">
        <x:f>IF(N778&gt;0,Control!$B$17+Control!$B$8+1-N778,G778)-B778/100000</x:f>
        <x:v>435.438320706516</x:v>
      </x:c>
      <x:c r="P778" s="73" t="n">
        <x:f>COUNTIF($O$776:$O$781,"&gt;"&amp;O778)+1</x:f>
        <x:v>4</x:v>
      </x:c>
      <x:c r="Q778" s="83" t="n">
        <x:f>MAX($G$776:$G$781)-G778</x:f>
        <x:v>9.15582069888768</x:v>
      </x:c>
      <x:c r="R778" s="73" t="str">
        <x:f>INDEX(TrackMap!$B$8:$B$141,H778)</x:f>
        <x:v>西侧上坡弯</x:v>
      </x:c>
    </x:row>
    <x:row r="779" ht="20" customHeight="1">
      <x:c r="A779" s="73" t="n">
        <x:v>128</x:v>
      </x:c>
      <x:c r="B779" s="73" t="n">
        <x:v>4</x:v>
      </x:c>
      <x:c r="C779" s="73" t="str">
        <x:f>INDEX(Drivers!$B$8:$B$13,B779)</x:f>
        <x:v>紫影</x:v>
      </x:c>
      <x:c r="D779" s="83" t="n">
        <x:f>G773</x:f>
        <x:v>423.7515724197393</x:v>
      </x:c>
      <x:c r="E779" s="83" t="str">
        <x:f>IF(A779=0,"GRID",IF(D779&gt;=Control!$B$17,"FINISHED",IF(AND(A779&gt;=INDEX(Drivers!$G$8:$G$13,B779),A779&lt;INDEX(Drivers!$G$8:$G$13,B779)+INDEX(Drivers!$J$8:$J$13,B779)),"PIT",IF(MOD(A779+INDEX(Drivers!$F$8:$F$13,B779),Control!$B$11)&lt;Control!$B$13,"BOOST","RACE"))))</x:f>
        <x:v>RACE</x:v>
      </x:c>
      <x:c r="F779" s="83" t="n">
        <x:f>IF(OR(E779="GRID",E779="FINISHED",E779="PIT"),0,MAX(Control!$B$15,(INDEX(Drivers!$D$8:$D$13,B779)+INDEX(Drivers!$E$8:$E$13,B779)*SIN((A779+INDEX(Drivers!$F$8:$F$13,B779)+Control!$B$16)*Control!$B$14))*INDEX(TrackMap!$M$8:$M$141,MOD(INT(D779)-1,Control!$B$7)+1)*IF(E779="BOOST",Control!$B$12,1)))</x:f>
        <x:v>2.545235587907604</x:v>
      </x:c>
      <x:c r="G779" s="83" t="n">
        <x:f>IF(A779=0,D779,MIN(Control!$B$17,D779+F779))</x:f>
        <x:v>426.2968080076469</x:v>
      </x:c>
      <x:c r="H779" s="73" t="n">
        <x:f>MOD(INT(G779)-1,Control!$B$7)+1</x:f>
        <x:v>24</x:v>
      </x:c>
      <x:c r="I779" s="73" t="n">
        <x:f>MIN(Control!$B$6,MAX(1,INT(MAX(0,G779)/Control!$B$7)+1))</x:f>
        <x:v>4</x:v>
      </x:c>
      <x:c r="J779" s="73" t="n">
        <x:f>INDEX(Drivers!$H$8:$H$13,B779)</x:f>
        <x:v>2</x:v>
      </x:c>
      <x:c r="K779" s="73" t="n">
        <x:f>IF(J779=1,INDEX(TrackMap!$I$8:$I$141,H779),INDEX(TrackMap!$L$8:$L$141,H779))</x:f>
        <x:v>2109</x:v>
      </x:c>
      <x:c r="L779" s="73" t="str">
        <x:f>INDEX(TrackMap!$F$8:$F$141,H779)</x:f>
        <x:v>→</x:v>
      </x:c>
      <x:c r="M779" s="87" t="n">
        <x:f>MAX(0,G779/Control!$B$17)</x:f>
        <x:v>0.6362638925487267</x:v>
      </x:c>
      <x:c r="N779" s="73" t="n">
        <x:f>IF(N773&gt;0,N773,IF(G779&gt;=Control!$B$17,A779,0))</x:f>
        <x:v>0</x:v>
      </x:c>
      <x:c r="O779" s="91" t="n">
        <x:f>IF(N779&gt;0,Control!$B$17+Control!$B$8+1-N779,G779)-B779/100000</x:f>
        <x:v>426.2967680076469</x:v>
      </x:c>
      <x:c r="P779" s="73" t="n">
        <x:f>COUNTIF($O$776:$O$781,"&gt;"&amp;O779)+1</x:f>
        <x:v>5</x:v>
      </x:c>
      <x:c r="Q779" s="83" t="n">
        <x:f>MAX($G$776:$G$781)-G779</x:f>
        <x:v>18.297363397756726</x:v>
      </x:c>
      <x:c r="R779" s="73" t="str">
        <x:f>INDEX(TrackMap!$B$8:$B$141,H779)</x:f>
        <x:v>短直道</x:v>
      </x:c>
    </x:row>
    <x:row r="780" ht="20" customHeight="1">
      <x:c r="A780" s="73" t="n">
        <x:v>128</x:v>
      </x:c>
      <x:c r="B780" s="73" t="n">
        <x:v>5</x:v>
      </x:c>
      <x:c r="C780" s="73" t="str">
        <x:f>INDEX(Drivers!$B$8:$B$13,B780)</x:f>
        <x:v>青锋</x:v>
      </x:c>
      <x:c r="D780" s="83" t="n">
        <x:f>G774</x:f>
        <x:v>441.99609782904355</x:v>
      </x:c>
      <x:c r="E780" s="83" t="str">
        <x:f>IF(A780=0,"GRID",IF(D780&gt;=Control!$B$17,"FINISHED",IF(AND(A780&gt;=INDEX(Drivers!$G$8:$G$13,B780),A780&lt;INDEX(Drivers!$G$8:$G$13,B780)+INDEX(Drivers!$J$8:$J$13,B780)),"PIT",IF(MOD(A780+INDEX(Drivers!$F$8:$F$13,B780),Control!$B$11)&lt;Control!$B$13,"BOOST","RACE"))))</x:f>
        <x:v>RACE</x:v>
      </x:c>
      <x:c r="F780" s="83" t="n">
        <x:f>IF(OR(E780="GRID",E780="FINISHED",E780="PIT"),0,MAX(Control!$B$15,(INDEX(Drivers!$D$8:$D$13,B780)+INDEX(Drivers!$E$8:$E$13,B780)*SIN((A780+INDEX(Drivers!$F$8:$F$13,B780)+Control!$B$16)*Control!$B$14))*INDEX(TrackMap!$M$8:$M$141,MOD(INT(D780)-1,Control!$B$7)+1)*IF(E780="BOOST",Control!$B$12,1)))</x:f>
        <x:v>2.5980735763600853</x:v>
      </x:c>
      <x:c r="G780" s="83" t="n">
        <x:f>IF(A780=0,D780,MIN(Control!$B$17,D780+F780))</x:f>
        <x:v>444.59417140540364</x:v>
      </x:c>
      <x:c r="H780" s="73" t="n">
        <x:f>MOD(INT(G780)-1,Control!$B$7)+1</x:f>
        <x:v>42</x:v>
      </x:c>
      <x:c r="I780" s="73" t="n">
        <x:f>MIN(Control!$B$6,MAX(1,INT(MAX(0,G780)/Control!$B$7)+1))</x:f>
        <x:v>4</x:v>
      </x:c>
      <x:c r="J780" s="73" t="n">
        <x:f>INDEX(Drivers!$H$8:$H$13,B780)</x:f>
        <x:v>1</x:v>
      </x:c>
      <x:c r="K780" s="73" t="n">
        <x:f>IF(J780=1,INDEX(TrackMap!$I$8:$I$141,H780),INDEX(TrackMap!$L$8:$L$141,H780))</x:f>
        <x:v>818</x:v>
      </x:c>
      <x:c r="L780" s="73" t="str">
        <x:f>INDEX(TrackMap!$F$8:$F$141,H780)</x:f>
        <x:v>→</x:v>
      </x:c>
      <x:c r="M780" s="87" t="n">
        <x:f>MAX(0,G780/Control!$B$17)</x:f>
        <x:v>0.6635733901573189</x:v>
      </x:c>
      <x:c r="N780" s="73" t="n">
        <x:f>IF(N774&gt;0,N774,IF(G780&gt;=Control!$B$17,A780,0))</x:f>
        <x:v>0</x:v>
      </x:c>
      <x:c r="O780" s="91" t="n">
        <x:f>IF(N780&gt;0,Control!$B$17+Control!$B$8+1-N780,G780)-B780/100000</x:f>
        <x:v>444.59412140540365</x:v>
      </x:c>
      <x:c r="P780" s="73" t="n">
        <x:f>COUNTIF($O$776:$O$781,"&gt;"&amp;O780)+1</x:f>
        <x:v>1</x:v>
      </x:c>
      <x:c r="Q780" s="83" t="n">
        <x:f>MAX($G$776:$G$781)-G780</x:f>
        <x:v>0</x:v>
      </x:c>
      <x:c r="R780" s="73" t="str">
        <x:f>INDEX(TrackMap!$B$8:$B$141,H780)</x:f>
        <x:v>西侧发卡弯</x:v>
      </x:c>
    </x:row>
    <x:row r="781" ht="20" customHeight="1">
      <x:c r="A781" s="73" t="n">
        <x:v>128</x:v>
      </x:c>
      <x:c r="B781" s="73" t="n">
        <x:v>6</x:v>
      </x:c>
      <x:c r="C781" s="73" t="str">
        <x:f>INDEX(Drivers!$B$8:$B$13,B781)</x:f>
        <x:v>玫速</x:v>
      </x:c>
      <x:c r="D781" s="83" t="n">
        <x:f>G775</x:f>
        <x:v>439.9997398440807</x:v>
      </x:c>
      <x:c r="E781" s="83" t="str">
        <x:f>IF(A781=0,"GRID",IF(D781&gt;=Control!$B$17,"FINISHED",IF(AND(A781&gt;=INDEX(Drivers!$G$8:$G$13,B781),A781&lt;INDEX(Drivers!$G$8:$G$13,B781)+INDEX(Drivers!$J$8:$J$13,B781)),"PIT",IF(MOD(A781+INDEX(Drivers!$F$8:$F$13,B781),Control!$B$11)&lt;Control!$B$13,"BOOST","RACE"))))</x:f>
        <x:v>RACE</x:v>
      </x:c>
      <x:c r="F781" s="83" t="n">
        <x:f>IF(OR(E781="GRID",E781="FINISHED",E781="PIT"),0,MAX(Control!$B$15,(INDEX(Drivers!$D$8:$D$13,B781)+INDEX(Drivers!$E$8:$E$13,B781)*SIN((A781+INDEX(Drivers!$F$8:$F$13,B781)+Control!$B$16)*Control!$B$14))*INDEX(TrackMap!$M$8:$M$141,MOD(INT(D781)-1,Control!$B$7)+1)*IF(E781="BOOST",Control!$B$12,1)))</x:f>
        <x:v>2.8990854941654587</x:v>
      </x:c>
      <x:c r="G781" s="83" t="n">
        <x:f>IF(A781=0,D781,MIN(Control!$B$17,D781+F781))</x:f>
        <x:v>442.8988253382461</x:v>
      </x:c>
      <x:c r="H781" s="73" t="n">
        <x:f>MOD(INT(G781)-1,Control!$B$7)+1</x:f>
        <x:v>40</x:v>
      </x:c>
      <x:c r="I781" s="73" t="n">
        <x:f>MIN(Control!$B$6,MAX(1,INT(MAX(0,G781)/Control!$B$7)+1))</x:f>
        <x:v>4</x:v>
      </x:c>
      <x:c r="J781" s="73" t="n">
        <x:f>INDEX(Drivers!$H$8:$H$13,B781)</x:f>
        <x:v>2</x:v>
      </x:c>
      <x:c r="K781" s="73" t="n">
        <x:f>IF(J781=1,INDEX(TrackMap!$I$8:$I$141,H781),INDEX(TrackMap!$L$8:$L$141,H781))</x:f>
        <x:v>916</x:v>
      </x:c>
      <x:c r="L781" s="73" t="str">
        <x:f>INDEX(TrackMap!$F$8:$F$141,H781)</x:f>
        <x:v>→</x:v>
      </x:c>
      <x:c r="M781" s="87" t="n">
        <x:f>MAX(0,G781/Control!$B$17)</x:f>
        <x:v>0.6610430228929046</x:v>
      </x:c>
      <x:c r="N781" s="73" t="n">
        <x:f>IF(N775&gt;0,N775,IF(G781&gt;=Control!$B$17,A781,0))</x:f>
        <x:v>0</x:v>
      </x:c>
      <x:c r="O781" s="91" t="n">
        <x:f>IF(N781&gt;0,Control!$B$17+Control!$B$8+1-N781,G781)-B781/100000</x:f>
        <x:v>442.8987653382461</x:v>
      </x:c>
      <x:c r="P781" s="73" t="n">
        <x:f>COUNTIF($O$776:$O$781,"&gt;"&amp;O781)+1</x:f>
        <x:v>2</x:v>
      </x:c>
      <x:c r="Q781" s="83" t="n">
        <x:f>MAX($G$776:$G$781)-G781</x:f>
        <x:v>1.6953460671575158</x:v>
      </x:c>
      <x:c r="R781" s="73" t="str">
        <x:f>INDEX(TrackMap!$B$8:$B$141,H781)</x:f>
        <x:v>西侧发卡弯</x:v>
      </x:c>
    </x:row>
    <x:row r="782" ht="20" customHeight="1">
      <x:c r="A782" s="73" t="n">
        <x:v>129</x:v>
      </x:c>
      <x:c r="B782" s="73" t="n">
        <x:v>1</x:v>
      </x:c>
      <x:c r="C782" s="73" t="str">
        <x:f>INDEX(Drivers!$B$8:$B$13,B782)</x:f>
        <x:v>赤焰</x:v>
      </x:c>
      <x:c r="D782" s="83" t="n">
        <x:f>G776</x:f>
        <x:v>440.5517128017741</x:v>
      </x:c>
      <x:c r="E782" s="83" t="str">
        <x:f>IF(A782=0,"GRID",IF(D782&gt;=Control!$B$17,"FINISHED",IF(AND(A782&gt;=INDEX(Drivers!$G$8:$G$13,B782),A782&lt;INDEX(Drivers!$G$8:$G$13,B782)+INDEX(Drivers!$J$8:$J$13,B782)),"PIT",IF(MOD(A782+INDEX(Drivers!$F$8:$F$13,B782),Control!$B$11)&lt;Control!$B$13,"BOOST","RACE"))))</x:f>
        <x:v>RACE</x:v>
      </x:c>
      <x:c r="F782" s="83" t="n">
        <x:f>IF(OR(E782="GRID",E782="FINISHED",E782="PIT"),0,MAX(Control!$B$15,(INDEX(Drivers!$D$8:$D$13,B782)+INDEX(Drivers!$E$8:$E$13,B782)*SIN((A782+INDEX(Drivers!$F$8:$F$13,B782)+Control!$B$16)*Control!$B$14))*INDEX(TrackMap!$M$8:$M$141,MOD(INT(D782)-1,Control!$B$7)+1)*IF(E782="BOOST",Control!$B$12,1)))</x:f>
        <x:v>3.051571507127146</x:v>
      </x:c>
      <x:c r="G782" s="83" t="n">
        <x:f>IF(A782=0,D782,MIN(Control!$B$17,D782+F782))</x:f>
        <x:v>443.60328430890127</x:v>
      </x:c>
      <x:c r="H782" s="73" t="n">
        <x:f>MOD(INT(G782)-1,Control!$B$7)+1</x:f>
        <x:v>41</x:v>
      </x:c>
      <x:c r="I782" s="73" t="n">
        <x:f>MIN(Control!$B$6,MAX(1,INT(MAX(0,G782)/Control!$B$7)+1))</x:f>
        <x:v>4</x:v>
      </x:c>
      <x:c r="J782" s="73" t="n">
        <x:f>INDEX(Drivers!$H$8:$H$13,B782)</x:f>
        <x:v>1</x:v>
      </x:c>
      <x:c r="K782" s="73" t="n">
        <x:f>IF(J782=1,INDEX(TrackMap!$I$8:$I$141,H782),INDEX(TrackMap!$L$8:$L$141,H782))</x:f>
        <x:v>817</x:v>
      </x:c>
      <x:c r="L782" s="73" t="str">
        <x:f>INDEX(TrackMap!$F$8:$F$141,H782)</x:f>
        <x:v>→</x:v>
      </x:c>
      <x:c r="M782" s="87" t="n">
        <x:f>MAX(0,G782/Control!$B$17)</x:f>
        <x:v>0.66209445419239</x:v>
      </x:c>
      <x:c r="N782" s="73" t="n">
        <x:f>IF(N776&gt;0,N776,IF(G782&gt;=Control!$B$17,A782,0))</x:f>
        <x:v>0</x:v>
      </x:c>
      <x:c r="O782" s="91" t="n">
        <x:f>IF(N782&gt;0,Control!$B$17+Control!$B$8+1-N782,G782)-B782/100000</x:f>
        <x:v>443.6032743089013</x:v>
      </x:c>
      <x:c r="P782" s="73" t="n">
        <x:f>COUNTIF($O$782:$O$787,"&gt;"&amp;O782)+1</x:f>
        <x:v>3</x:v>
      </x:c>
      <x:c r="Q782" s="83" t="n">
        <x:f>MAX($G$782:$G$787)-G782</x:f>
        <x:v>3.4847779895176245</x:v>
      </x:c>
      <x:c r="R782" s="73" t="str">
        <x:f>INDEX(TrackMap!$B$8:$B$141,H782)</x:f>
        <x:v>西侧发卡弯</x:v>
      </x:c>
    </x:row>
    <x:row r="783" ht="20" customHeight="1">
      <x:c r="A783" s="73" t="n">
        <x:v>129</x:v>
      </x:c>
      <x:c r="B783" s="73" t="n">
        <x:v>2</x:v>
      </x:c>
      <x:c r="C783" s="73" t="str">
        <x:f>INDEX(Drivers!$B$8:$B$13,B783)</x:f>
        <x:v>蓝电</x:v>
      </x:c>
      <x:c r="D783" s="83" t="n">
        <x:f>G777</x:f>
        <x:v>422.1077705502719</x:v>
      </x:c>
      <x:c r="E783" s="83" t="str">
        <x:f>IF(A783=0,"GRID",IF(D783&gt;=Control!$B$17,"FINISHED",IF(AND(A783&gt;=INDEX(Drivers!$G$8:$G$13,B783),A783&lt;INDEX(Drivers!$G$8:$G$13,B783)+INDEX(Drivers!$J$8:$J$13,B783)),"PIT",IF(MOD(A783+INDEX(Drivers!$F$8:$F$13,B783),Control!$B$11)&lt;Control!$B$13,"BOOST","RACE"))))</x:f>
        <x:v>RACE</x:v>
      </x:c>
      <x:c r="F783" s="83" t="n">
        <x:f>IF(OR(E783="GRID",E783="FINISHED",E783="PIT"),0,MAX(Control!$B$15,(INDEX(Drivers!$D$8:$D$13,B783)+INDEX(Drivers!$E$8:$E$13,B783)*SIN((A783+INDEX(Drivers!$F$8:$F$13,B783)+Control!$B$16)*Control!$B$14))*INDEX(TrackMap!$M$8:$M$141,MOD(INT(D783)-1,Control!$B$7)+1)*IF(E783="BOOST",Control!$B$12,1)))</x:f>
        <x:v>2.3867565192459645</x:v>
      </x:c>
      <x:c r="G783" s="83" t="n">
        <x:f>IF(A783=0,D783,MIN(Control!$B$17,D783+F783))</x:f>
        <x:v>424.49452706951786</x:v>
      </x:c>
      <x:c r="H783" s="73" t="n">
        <x:f>MOD(INT(G783)-1,Control!$B$7)+1</x:f>
        <x:v>22</x:v>
      </x:c>
      <x:c r="I783" s="73" t="n">
        <x:f>MIN(Control!$B$6,MAX(1,INT(MAX(0,G783)/Control!$B$7)+1))</x:f>
        <x:v>4</x:v>
      </x:c>
      <x:c r="J783" s="73" t="n">
        <x:f>INDEX(Drivers!$H$8:$H$13,B783)</x:f>
        <x:v>2</x:v>
      </x:c>
      <x:c r="K783" s="73" t="n">
        <x:f>IF(J783=1,INDEX(TrackMap!$I$8:$I$141,H783),INDEX(TrackMap!$L$8:$L$141,H783))</x:f>
        <x:v>2107</x:v>
      </x:c>
      <x:c r="L783" s="73" t="str">
        <x:f>INDEX(TrackMap!$F$8:$F$141,H783)</x:f>
        <x:v>→</x:v>
      </x:c>
      <x:c r="M783" s="87" t="n">
        <x:f>MAX(0,G783/Control!$B$17)</x:f>
        <x:v>0.6335739209992803</x:v>
      </x:c>
      <x:c r="N783" s="73" t="n">
        <x:f>IF(N777&gt;0,N777,IF(G783&gt;=Control!$B$17,A783,0))</x:f>
        <x:v>0</x:v>
      </x:c>
      <x:c r="O783" s="91" t="n">
        <x:f>IF(N783&gt;0,Control!$B$17+Control!$B$8+1-N783,G783)-B783/100000</x:f>
        <x:v>424.49450706951785</x:v>
      </x:c>
      <x:c r="P783" s="73" t="n">
        <x:f>COUNTIF($O$782:$O$787,"&gt;"&amp;O783)+1</x:f>
        <x:v>6</x:v>
      </x:c>
      <x:c r="Q783" s="83" t="n">
        <x:f>MAX($G$782:$G$787)-G783</x:f>
        <x:v>22.593535228901032</x:v>
      </x:c>
      <x:c r="R783" s="73" t="str">
        <x:f>INDEX(TrackMap!$B$8:$B$141,H783)</x:f>
        <x:v>短直道</x:v>
      </x:c>
    </x:row>
    <x:row r="784" ht="20" customHeight="1">
      <x:c r="A784" s="73" t="n">
        <x:v>129</x:v>
      </x:c>
      <x:c r="B784" s="73" t="n">
        <x:v>3</x:v>
      </x:c>
      <x:c r="C784" s="73" t="str">
        <x:f>INDEX(Drivers!$B$8:$B$13,B784)</x:f>
        <x:v>金翼</x:v>
      </x:c>
      <x:c r="D784" s="83" t="n">
        <x:f>G778</x:f>
        <x:v>435.43835070651596</x:v>
      </x:c>
      <x:c r="E784" s="83" t="str">
        <x:f>IF(A784=0,"GRID",IF(D784&gt;=Control!$B$17,"FINISHED",IF(AND(A784&gt;=INDEX(Drivers!$G$8:$G$13,B784),A784&lt;INDEX(Drivers!$G$8:$G$13,B784)+INDEX(Drivers!$J$8:$J$13,B784)),"PIT",IF(MOD(A784+INDEX(Drivers!$F$8:$F$13,B784),Control!$B$11)&lt;Control!$B$13,"BOOST","RACE"))))</x:f>
        <x:v>PIT</x:v>
      </x:c>
      <x:c r="F784" s="83" t="n">
        <x:f>IF(OR(E784="GRID",E784="FINISHED",E784="PIT"),0,MAX(Control!$B$15,(INDEX(Drivers!$D$8:$D$13,B784)+INDEX(Drivers!$E$8:$E$13,B784)*SIN((A784+INDEX(Drivers!$F$8:$F$13,B784)+Control!$B$16)*Control!$B$14))*INDEX(TrackMap!$M$8:$M$141,MOD(INT(D784)-1,Control!$B$7)+1)*IF(E784="BOOST",Control!$B$12,1)))</x:f>
        <x:v>0</x:v>
      </x:c>
      <x:c r="G784" s="83" t="n">
        <x:f>IF(A784=0,D784,MIN(Control!$B$17,D784+F784))</x:f>
        <x:v>435.43835070651596</x:v>
      </x:c>
      <x:c r="H784" s="73" t="n">
        <x:f>MOD(INT(G784)-1,Control!$B$7)+1</x:f>
        <x:v>33</x:v>
      </x:c>
      <x:c r="I784" s="73" t="n">
        <x:f>MIN(Control!$B$6,MAX(1,INT(MAX(0,G784)/Control!$B$7)+1))</x:f>
        <x:v>4</x:v>
      </x:c>
      <x:c r="J784" s="73" t="n">
        <x:f>INDEX(Drivers!$H$8:$H$13,B784)</x:f>
        <x:v>1</x:v>
      </x:c>
      <x:c r="K784" s="73" t="n">
        <x:f>IF(J784=1,INDEX(TrackMap!$I$8:$I$141,H784),INDEX(TrackMap!$L$8:$L$141,H784))</x:f>
        <x:v>1210</x:v>
      </x:c>
      <x:c r="L784" s="73" t="str">
        <x:f>INDEX(TrackMap!$F$8:$F$141,H784)</x:f>
        <x:v>↑</x:v>
      </x:c>
      <x:c r="M784" s="87" t="n">
        <x:f>MAX(0,G784/Control!$B$17)</x:f>
        <x:v>0.6499079861291283</x:v>
      </x:c>
      <x:c r="N784" s="73" t="n">
        <x:f>IF(N778&gt;0,N778,IF(G784&gt;=Control!$B$17,A784,0))</x:f>
        <x:v>0</x:v>
      </x:c>
      <x:c r="O784" s="91" t="n">
        <x:f>IF(N784&gt;0,Control!$B$17+Control!$B$8+1-N784,G784)-B784/100000</x:f>
        <x:v>435.438320706516</x:v>
      </x:c>
      <x:c r="P784" s="73" t="n">
        <x:f>COUNTIF($O$782:$O$787,"&gt;"&amp;O784)+1</x:f>
        <x:v>4</x:v>
      </x:c>
      <x:c r="Q784" s="83" t="n">
        <x:f>MAX($G$782:$G$787)-G784</x:f>
        <x:v>11.649711591902928</x:v>
      </x:c>
      <x:c r="R784" s="73" t="str">
        <x:f>INDEX(TrackMap!$B$8:$B$141,H784)</x:f>
        <x:v>西侧上坡弯</x:v>
      </x:c>
    </x:row>
    <x:row r="785" ht="20" customHeight="1">
      <x:c r="A785" s="73" t="n">
        <x:v>129</x:v>
      </x:c>
      <x:c r="B785" s="73" t="n">
        <x:v>4</x:v>
      </x:c>
      <x:c r="C785" s="73" t="str">
        <x:f>INDEX(Drivers!$B$8:$B$13,B785)</x:f>
        <x:v>紫影</x:v>
      </x:c>
      <x:c r="D785" s="83" t="n">
        <x:f>G779</x:f>
        <x:v>426.2968080076469</x:v>
      </x:c>
      <x:c r="E785" s="83" t="str">
        <x:f>IF(A785=0,"GRID",IF(D785&gt;=Control!$B$17,"FINISHED",IF(AND(A785&gt;=INDEX(Drivers!$G$8:$G$13,B785),A785&lt;INDEX(Drivers!$G$8:$G$13,B785)+INDEX(Drivers!$J$8:$J$13,B785)),"PIT",IF(MOD(A785+INDEX(Drivers!$F$8:$F$13,B785),Control!$B$11)&lt;Control!$B$13,"BOOST","RACE"))))</x:f>
        <x:v>RACE</x:v>
      </x:c>
      <x:c r="F785" s="83" t="n">
        <x:f>IF(OR(E785="GRID",E785="FINISHED",E785="PIT"),0,MAX(Control!$B$15,(INDEX(Drivers!$D$8:$D$13,B785)+INDEX(Drivers!$E$8:$E$13,B785)*SIN((A785+INDEX(Drivers!$F$8:$F$13,B785)+Control!$B$16)*Control!$B$14))*INDEX(TrackMap!$M$8:$M$141,MOD(INT(D785)-1,Control!$B$7)+1)*IF(E785="BOOST",Control!$B$12,1)))</x:f>
        <x:v>2.429846503011648</x:v>
      </x:c>
      <x:c r="G785" s="83" t="n">
        <x:f>IF(A785=0,D785,MIN(Control!$B$17,D785+F785))</x:f>
        <x:v>428.7266545106586</x:v>
      </x:c>
      <x:c r="H785" s="73" t="n">
        <x:f>MOD(INT(G785)-1,Control!$B$7)+1</x:f>
        <x:v>26</x:v>
      </x:c>
      <x:c r="I785" s="73" t="n">
        <x:f>MIN(Control!$B$6,MAX(1,INT(MAX(0,G785)/Control!$B$7)+1))</x:f>
        <x:v>4</x:v>
      </x:c>
      <x:c r="J785" s="73" t="n">
        <x:f>INDEX(Drivers!$H$8:$H$13,B785)</x:f>
        <x:v>2</x:v>
      </x:c>
      <x:c r="K785" s="73" t="n">
        <x:f>IF(J785=1,INDEX(TrackMap!$I$8:$I$141,H785),INDEX(TrackMap!$L$8:$L$141,H785))</x:f>
        <x:v>1911</x:v>
      </x:c>
      <x:c r="L785" s="73" t="str">
        <x:f>INDEX(TrackMap!$F$8:$F$141,H785)</x:f>
        <x:v>↑</x:v>
      </x:c>
      <x:c r="M785" s="87" t="n">
        <x:f>MAX(0,G785/Control!$B$17)</x:f>
        <x:v>0.6398905291203859</x:v>
      </x:c>
      <x:c r="N785" s="73" t="n">
        <x:f>IF(N779&gt;0,N779,IF(G785&gt;=Control!$B$17,A785,0))</x:f>
        <x:v>0</x:v>
      </x:c>
      <x:c r="O785" s="91" t="n">
        <x:f>IF(N785&gt;0,Control!$B$17+Control!$B$8+1-N785,G785)-B785/100000</x:f>
        <x:v>428.7266145106586</x:v>
      </x:c>
      <x:c r="P785" s="73" t="n">
        <x:f>COUNTIF($O$782:$O$787,"&gt;"&amp;O785)+1</x:f>
        <x:v>5</x:v>
      </x:c>
      <x:c r="Q785" s="83" t="n">
        <x:f>MAX($G$782:$G$787)-G785</x:f>
        <x:v>18.3614077877603</x:v>
      </x:c>
      <x:c r="R785" s="73" t="str">
        <x:f>INDEX(TrackMap!$B$8:$B$141,H785)</x:f>
        <x:v>西侧上坡弯</x:v>
      </x:c>
    </x:row>
    <x:row r="786" ht="20" customHeight="1">
      <x:c r="A786" s="73" t="n">
        <x:v>129</x:v>
      </x:c>
      <x:c r="B786" s="73" t="n">
        <x:v>5</x:v>
      </x:c>
      <x:c r="C786" s="73" t="str">
        <x:f>INDEX(Drivers!$B$8:$B$13,B786)</x:f>
        <x:v>青锋</x:v>
      </x:c>
      <x:c r="D786" s="83" t="n">
        <x:f>G780</x:f>
        <x:v>444.59417140540364</x:v>
      </x:c>
      <x:c r="E786" s="83" t="str">
        <x:f>IF(A786=0,"GRID",IF(D786&gt;=Control!$B$17,"FINISHED",IF(AND(A786&gt;=INDEX(Drivers!$G$8:$G$13,B786),A786&lt;INDEX(Drivers!$G$8:$G$13,B786)+INDEX(Drivers!$J$8:$J$13,B786)),"PIT",IF(MOD(A786+INDEX(Drivers!$F$8:$F$13,B786),Control!$B$11)&lt;Control!$B$13,"BOOST","RACE"))))</x:f>
        <x:v>RACE</x:v>
      </x:c>
      <x:c r="F786" s="83" t="n">
        <x:f>IF(OR(E786="GRID",E786="FINISHED",E786="PIT"),0,MAX(Control!$B$15,(INDEX(Drivers!$D$8:$D$13,B786)+INDEX(Drivers!$E$8:$E$13,B786)*SIN((A786+INDEX(Drivers!$F$8:$F$13,B786)+Control!$B$16)*Control!$B$14))*INDEX(TrackMap!$M$8:$M$141,MOD(INT(D786)-1,Control!$B$7)+1)*IF(E786="BOOST",Control!$B$12,1)))</x:f>
        <x:v>2.493890893015246</x:v>
      </x:c>
      <x:c r="G786" s="83" t="n">
        <x:f>IF(A786=0,D786,MIN(Control!$B$17,D786+F786))</x:f>
        <x:v>447.0880622984189</x:v>
      </x:c>
      <x:c r="H786" s="73" t="n">
        <x:f>MOD(INT(G786)-1,Control!$B$7)+1</x:f>
        <x:v>45</x:v>
      </x:c>
      <x:c r="I786" s="73" t="n">
        <x:f>MIN(Control!$B$6,MAX(1,INT(MAX(0,G786)/Control!$B$7)+1))</x:f>
        <x:v>4</x:v>
      </x:c>
      <x:c r="J786" s="73" t="n">
        <x:f>INDEX(Drivers!$H$8:$H$13,B786)</x:f>
        <x:v>1</x:v>
      </x:c>
      <x:c r="K786" s="73" t="n">
        <x:f>IF(J786=1,INDEX(TrackMap!$I$8:$I$141,H786),INDEX(TrackMap!$L$8:$L$141,H786))</x:f>
        <x:v>1219</x:v>
      </x:c>
      <x:c r="L786" s="73" t="str">
        <x:f>INDEX(TrackMap!$F$8:$F$141,H786)</x:f>
        <x:v>↓</x:v>
      </x:c>
      <x:c r="M786" s="87" t="n">
        <x:f>MAX(0,G786/Control!$B$17)</x:f>
        <x:v>0.6672956153707744</x:v>
      </x:c>
      <x:c r="N786" s="73" t="n">
        <x:f>IF(N780&gt;0,N780,IF(G786&gt;=Control!$B$17,A786,0))</x:f>
        <x:v>0</x:v>
      </x:c>
      <x:c r="O786" s="91" t="n">
        <x:f>IF(N786&gt;0,Control!$B$17+Control!$B$8+1-N786,G786)-B786/100000</x:f>
        <x:v>447.0880122984189</x:v>
      </x:c>
      <x:c r="P786" s="73" t="n">
        <x:f>COUNTIF($O$782:$O$787,"&gt;"&amp;O786)+1</x:f>
        <x:v>1</x:v>
      </x:c>
      <x:c r="Q786" s="83" t="n">
        <x:f>MAX($G$782:$G$787)-G786</x:f>
        <x:v>0</x:v>
      </x:c>
      <x:c r="R786" s="73" t="str">
        <x:f>INDEX(TrackMap!$B$8:$B$141,H786)</x:f>
        <x:v>中段下行弯</x:v>
      </x:c>
    </x:row>
    <x:row r="787" ht="20" customHeight="1">
      <x:c r="A787" s="73" t="n">
        <x:v>129</x:v>
      </x:c>
      <x:c r="B787" s="73" t="n">
        <x:v>6</x:v>
      </x:c>
      <x:c r="C787" s="73" t="str">
        <x:f>INDEX(Drivers!$B$8:$B$13,B787)</x:f>
        <x:v>玫速</x:v>
      </x:c>
      <x:c r="D787" s="83" t="n">
        <x:f>G781</x:f>
        <x:v>442.8988253382461</x:v>
      </x:c>
      <x:c r="E787" s="83" t="str">
        <x:f>IF(A787=0,"GRID",IF(D787&gt;=Control!$B$17,"FINISHED",IF(AND(A787&gt;=INDEX(Drivers!$G$8:$G$13,B787),A787&lt;INDEX(Drivers!$G$8:$G$13,B787)+INDEX(Drivers!$J$8:$J$13,B787)),"PIT",IF(MOD(A787+INDEX(Drivers!$F$8:$F$13,B787),Control!$B$11)&lt;Control!$B$13,"BOOST","RACE"))))</x:f>
        <x:v>RACE</x:v>
      </x:c>
      <x:c r="F787" s="83" t="n">
        <x:f>IF(OR(E787="GRID",E787="FINISHED",E787="PIT"),0,MAX(Control!$B$15,(INDEX(Drivers!$D$8:$D$13,B787)+INDEX(Drivers!$E$8:$E$13,B787)*SIN((A787+INDEX(Drivers!$F$8:$F$13,B787)+Control!$B$16)*Control!$B$14))*INDEX(TrackMap!$M$8:$M$141,MOD(INT(D787)-1,Control!$B$7)+1)*IF(E787="BOOST",Control!$B$12,1)))</x:f>
        <x:v>3.0660620898009436</x:v>
      </x:c>
      <x:c r="G787" s="83" t="n">
        <x:f>IF(A787=0,D787,MIN(Control!$B$17,D787+F787))</x:f>
        <x:v>445.96488742804706</x:v>
      </x:c>
      <x:c r="H787" s="73" t="n">
        <x:f>MOD(INT(G787)-1,Control!$B$7)+1</x:f>
        <x:v>43</x:v>
      </x:c>
      <x:c r="I787" s="73" t="n">
        <x:f>MIN(Control!$B$6,MAX(1,INT(MAX(0,G787)/Control!$B$7)+1))</x:f>
        <x:v>4</x:v>
      </x:c>
      <x:c r="J787" s="73" t="n">
        <x:f>INDEX(Drivers!$H$8:$H$13,B787)</x:f>
        <x:v>2</x:v>
      </x:c>
      <x:c r="K787" s="73" t="n">
        <x:f>IF(J787=1,INDEX(TrackMap!$I$8:$I$141,H787),INDEX(TrackMap!$L$8:$L$141,H787))</x:f>
        <x:v>1019</x:v>
      </x:c>
      <x:c r="L787" s="73" t="str">
        <x:f>INDEX(TrackMap!$F$8:$F$141,H787)</x:f>
        <x:v>↓</x:v>
      </x:c>
      <x:c r="M787" s="87" t="n">
        <x:f>MAX(0,G787/Control!$B$17)</x:f>
        <x:v>0.6656192349672344</x:v>
      </x:c>
      <x:c r="N787" s="73" t="n">
        <x:f>IF(N781&gt;0,N781,IF(G787&gt;=Control!$B$17,A787,0))</x:f>
        <x:v>0</x:v>
      </x:c>
      <x:c r="O787" s="91" t="n">
        <x:f>IF(N787&gt;0,Control!$B$17+Control!$B$8+1-N787,G787)-B787/100000</x:f>
        <x:v>445.96482742804704</x:v>
      </x:c>
      <x:c r="P787" s="73" t="n">
        <x:f>COUNTIF($O$782:$O$787,"&gt;"&amp;O787)+1</x:f>
        <x:v>2</x:v>
      </x:c>
      <x:c r="Q787" s="83" t="n">
        <x:f>MAX($G$782:$G$787)-G787</x:f>
        <x:v>1.1231748703718267</x:v>
      </x:c>
      <x:c r="R787" s="73" t="str">
        <x:f>INDEX(TrackMap!$B$8:$B$141,H787)</x:f>
        <x:v>西侧发卡弯</x:v>
      </x:c>
    </x:row>
    <x:row r="788" ht="20" customHeight="1">
      <x:c r="A788" s="73" t="n">
        <x:v>130</x:v>
      </x:c>
      <x:c r="B788" s="73" t="n">
        <x:v>1</x:v>
      </x:c>
      <x:c r="C788" s="73" t="str">
        <x:f>INDEX(Drivers!$B$8:$B$13,B788)</x:f>
        <x:v>赤焰</x:v>
      </x:c>
      <x:c r="D788" s="83" t="n">
        <x:f>G782</x:f>
        <x:v>443.60328430890127</x:v>
      </x:c>
      <x:c r="E788" s="83" t="str">
        <x:f>IF(A788=0,"GRID",IF(D788&gt;=Control!$B$17,"FINISHED",IF(AND(A788&gt;=INDEX(Drivers!$G$8:$G$13,B788),A788&lt;INDEX(Drivers!$G$8:$G$13,B788)+INDEX(Drivers!$J$8:$J$13,B788)),"PIT",IF(MOD(A788+INDEX(Drivers!$F$8:$F$13,B788),Control!$B$11)&lt;Control!$B$13,"BOOST","RACE"))))</x:f>
        <x:v>RACE</x:v>
      </x:c>
      <x:c r="F788" s="83" t="n">
        <x:f>IF(OR(E788="GRID",E788="FINISHED",E788="PIT"),0,MAX(Control!$B$15,(INDEX(Drivers!$D$8:$D$13,B788)+INDEX(Drivers!$E$8:$E$13,B788)*SIN((A788+INDEX(Drivers!$F$8:$F$13,B788)+Control!$B$16)*Control!$B$14))*INDEX(TrackMap!$M$8:$M$141,MOD(INT(D788)-1,Control!$B$7)+1)*IF(E788="BOOST",Control!$B$12,1)))</x:f>
        <x:v>2.901368621649062</x:v>
      </x:c>
      <x:c r="G788" s="83" t="n">
        <x:f>IF(A788=0,D788,MIN(Control!$B$17,D788+F788))</x:f>
        <x:v>446.5046529305503</x:v>
      </x:c>
      <x:c r="H788" s="73" t="n">
        <x:f>MOD(INT(G788)-1,Control!$B$7)+1</x:f>
        <x:v>44</x:v>
      </x:c>
      <x:c r="I788" s="73" t="n">
        <x:f>MIN(Control!$B$6,MAX(1,INT(MAX(0,G788)/Control!$B$7)+1))</x:f>
        <x:v>4</x:v>
      </x:c>
      <x:c r="J788" s="73" t="n">
        <x:f>INDEX(Drivers!$H$8:$H$13,B788)</x:f>
        <x:v>1</x:v>
      </x:c>
      <x:c r="K788" s="73" t="n">
        <x:f>IF(J788=1,INDEX(TrackMap!$I$8:$I$141,H788),INDEX(TrackMap!$L$8:$L$141,H788))</x:f>
        <x:v>1119</x:v>
      </x:c>
      <x:c r="L788" s="73" t="str">
        <x:f>INDEX(TrackMap!$F$8:$F$141,H788)</x:f>
        <x:v>↓</x:v>
      </x:c>
      <x:c r="M788" s="87" t="n">
        <x:f>MAX(0,G788/Control!$B$17)</x:f>
        <x:v>0.6664248551202243</x:v>
      </x:c>
      <x:c r="N788" s="73" t="n">
        <x:f>IF(N782&gt;0,N782,IF(G788&gt;=Control!$B$17,A788,0))</x:f>
        <x:v>0</x:v>
      </x:c>
      <x:c r="O788" s="91" t="n">
        <x:f>IF(N788&gt;0,Control!$B$17+Control!$B$8+1-N788,G788)-B788/100000</x:f>
        <x:v>446.50464293055035</x:v>
      </x:c>
      <x:c r="P788" s="73" t="n">
        <x:f>COUNTIF($O$788:$O$793,"&gt;"&amp;O788)+1</x:f>
        <x:v>3</x:v>
      </x:c>
      <x:c r="Q788" s="83" t="n">
        <x:f>MAX($G$788:$G$793)-G788</x:f>
        <x:v>3.018797851842578</x:v>
      </x:c>
      <x:c r="R788" s="73" t="str">
        <x:f>INDEX(TrackMap!$B$8:$B$141,H788)</x:f>
        <x:v>中段下行弯</x:v>
      </x:c>
    </x:row>
    <x:row r="789" ht="20" customHeight="1">
      <x:c r="A789" s="73" t="n">
        <x:v>130</x:v>
      </x:c>
      <x:c r="B789" s="73" t="n">
        <x:v>2</x:v>
      </x:c>
      <x:c r="C789" s="73" t="str">
        <x:f>INDEX(Drivers!$B$8:$B$13,B789)</x:f>
        <x:v>蓝电</x:v>
      </x:c>
      <x:c r="D789" s="83" t="n">
        <x:f>G783</x:f>
        <x:v>424.49452706951786</x:v>
      </x:c>
      <x:c r="E789" s="83" t="str">
        <x:f>IF(A789=0,"GRID",IF(D789&gt;=Control!$B$17,"FINISHED",IF(AND(A789&gt;=INDEX(Drivers!$G$8:$G$13,B789),A789&lt;INDEX(Drivers!$G$8:$G$13,B789)+INDEX(Drivers!$J$8:$J$13,B789)),"PIT",IF(MOD(A789+INDEX(Drivers!$F$8:$F$13,B789),Control!$B$11)&lt;Control!$B$13,"BOOST","RACE"))))</x:f>
        <x:v>RACE</x:v>
      </x:c>
      <x:c r="F789" s="83" t="n">
        <x:f>IF(OR(E789="GRID",E789="FINISHED",E789="PIT"),0,MAX(Control!$B$15,(INDEX(Drivers!$D$8:$D$13,B789)+INDEX(Drivers!$E$8:$E$13,B789)*SIN((A789+INDEX(Drivers!$F$8:$F$13,B789)+Control!$B$16)*Control!$B$14))*INDEX(TrackMap!$M$8:$M$141,MOD(INT(D789)-1,Control!$B$7)+1)*IF(E789="BOOST",Control!$B$12,1)))</x:f>
        <x:v>3.203346066142812</x:v>
      </x:c>
      <x:c r="G789" s="83" t="n">
        <x:f>IF(A789=0,D789,MIN(Control!$B$17,D789+F789))</x:f>
        <x:v>427.69787313566064</x:v>
      </x:c>
      <x:c r="H789" s="73" t="n">
        <x:f>MOD(INT(G789)-1,Control!$B$7)+1</x:f>
        <x:v>25</x:v>
      </x:c>
      <x:c r="I789" s="73" t="n">
        <x:f>MIN(Control!$B$6,MAX(1,INT(MAX(0,G789)/Control!$B$7)+1))</x:f>
        <x:v>4</x:v>
      </x:c>
      <x:c r="J789" s="73" t="n">
        <x:f>INDEX(Drivers!$H$8:$H$13,B789)</x:f>
        <x:v>2</x:v>
      </x:c>
      <x:c r="K789" s="73" t="n">
        <x:f>IF(J789=1,INDEX(TrackMap!$I$8:$I$141,H789),INDEX(TrackMap!$L$8:$L$141,H789))</x:f>
        <x:v>2010</x:v>
      </x:c>
      <x:c r="L789" s="73" t="str">
        <x:f>INDEX(TrackMap!$F$8:$F$141,H789)</x:f>
        <x:v>↑</x:v>
      </x:c>
      <x:c r="M789" s="87" t="n">
        <x:f>MAX(0,G789/Control!$B$17)</x:f>
        <x:v>0.6383550345308368</x:v>
      </x:c>
      <x:c r="N789" s="73" t="n">
        <x:f>IF(N783&gt;0,N783,IF(G789&gt;=Control!$B$17,A789,0))</x:f>
        <x:v>0</x:v>
      </x:c>
      <x:c r="O789" s="91" t="n">
        <x:f>IF(N789&gt;0,Control!$B$17+Control!$B$8+1-N789,G789)-B789/100000</x:f>
        <x:v>427.69785313566064</x:v>
      </x:c>
      <x:c r="P789" s="73" t="n">
        <x:f>COUNTIF($O$788:$O$793,"&gt;"&amp;O789)+1</x:f>
        <x:v>6</x:v>
      </x:c>
      <x:c r="Q789" s="83" t="n">
        <x:f>MAX($G$788:$G$793)-G789</x:f>
        <x:v>21.825577646732256</x:v>
      </x:c>
      <x:c r="R789" s="73" t="str">
        <x:f>INDEX(TrackMap!$B$8:$B$141,H789)</x:f>
        <x:v>西侧上坡弯</x:v>
      </x:c>
    </x:row>
    <x:row r="790" ht="20" customHeight="1">
      <x:c r="A790" s="73" t="n">
        <x:v>130</x:v>
      </x:c>
      <x:c r="B790" s="73" t="n">
        <x:v>3</x:v>
      </x:c>
      <x:c r="C790" s="73" t="str">
        <x:f>INDEX(Drivers!$B$8:$B$13,B790)</x:f>
        <x:v>金翼</x:v>
      </x:c>
      <x:c r="D790" s="83" t="n">
        <x:f>G784</x:f>
        <x:v>435.43835070651596</x:v>
      </x:c>
      <x:c r="E790" s="83" t="str">
        <x:f>IF(A790=0,"GRID",IF(D790&gt;=Control!$B$17,"FINISHED",IF(AND(A790&gt;=INDEX(Drivers!$G$8:$G$13,B790),A790&lt;INDEX(Drivers!$G$8:$G$13,B790)+INDEX(Drivers!$J$8:$J$13,B790)),"PIT",IF(MOD(A790+INDEX(Drivers!$F$8:$F$13,B790),Control!$B$11)&lt;Control!$B$13,"BOOST","RACE"))))</x:f>
        <x:v>RACE</x:v>
      </x:c>
      <x:c r="F790" s="83" t="n">
        <x:f>IF(OR(E790="GRID",E790="FINISHED",E790="PIT"),0,MAX(Control!$B$15,(INDEX(Drivers!$D$8:$D$13,B790)+INDEX(Drivers!$E$8:$E$13,B790)*SIN((A790+INDEX(Drivers!$F$8:$F$13,B790)+Control!$B$16)*Control!$B$14))*INDEX(TrackMap!$M$8:$M$141,MOD(INT(D790)-1,Control!$B$7)+1)*IF(E790="BOOST",Control!$B$12,1)))</x:f>
        <x:v>4.171287905780664</x:v>
      </x:c>
      <x:c r="G790" s="83" t="n">
        <x:f>IF(A790=0,D790,MIN(Control!$B$17,D790+F790))</x:f>
        <x:v>439.60963861229664</x:v>
      </x:c>
      <x:c r="H790" s="73" t="n">
        <x:f>MOD(INT(G790)-1,Control!$B$7)+1</x:f>
        <x:v>37</x:v>
      </x:c>
      <x:c r="I790" s="73" t="n">
        <x:f>MIN(Control!$B$6,MAX(1,INT(MAX(0,G790)/Control!$B$7)+1))</x:f>
        <x:v>4</x:v>
      </x:c>
      <x:c r="J790" s="73" t="n">
        <x:f>INDEX(Drivers!$H$8:$H$13,B790)</x:f>
        <x:v>1</x:v>
      </x:c>
      <x:c r="K790" s="73" t="n">
        <x:f>IF(J790=1,INDEX(TrackMap!$I$8:$I$141,H790),INDEX(TrackMap!$L$8:$L$141,H790))</x:f>
        <x:v>813</x:v>
      </x:c>
      <x:c r="L790" s="73" t="str">
        <x:f>INDEX(TrackMap!$F$8:$F$141,H790)</x:f>
        <x:v>→</x:v>
      </x:c>
      <x:c r="M790" s="87" t="n">
        <x:f>MAX(0,G790/Control!$B$17)</x:f>
        <x:v>0.6561337889735771</x:v>
      </x:c>
      <x:c r="N790" s="73" t="n">
        <x:f>IF(N784&gt;0,N784,IF(G790&gt;=Control!$B$17,A790,0))</x:f>
        <x:v>0</x:v>
      </x:c>
      <x:c r="O790" s="91" t="n">
        <x:f>IF(N790&gt;0,Control!$B$17+Control!$B$8+1-N790,G790)-B790/100000</x:f>
        <x:v>439.60960861229665</x:v>
      </x:c>
      <x:c r="P790" s="73" t="n">
        <x:f>COUNTIF($O$788:$O$793,"&gt;"&amp;O790)+1</x:f>
        <x:v>4</x:v>
      </x:c>
      <x:c r="Q790" s="83" t="n">
        <x:f>MAX($G$788:$G$793)-G790</x:f>
        <x:v>9.913812170096264</x:v>
      </x:c>
      <x:c r="R790" s="73" t="str">
        <x:f>INDEX(TrackMap!$B$8:$B$141,H790)</x:f>
        <x:v>西侧发卡弯</x:v>
      </x:c>
    </x:row>
    <x:row r="791" ht="20" customHeight="1">
      <x:c r="A791" s="73" t="n">
        <x:v>130</x:v>
      </x:c>
      <x:c r="B791" s="73" t="n">
        <x:v>4</x:v>
      </x:c>
      <x:c r="C791" s="73" t="str">
        <x:f>INDEX(Drivers!$B$8:$B$13,B791)</x:f>
        <x:v>紫影</x:v>
      </x:c>
      <x:c r="D791" s="83" t="n">
        <x:f>G785</x:f>
        <x:v>428.7266545106586</x:v>
      </x:c>
      <x:c r="E791" s="83" t="str">
        <x:f>IF(A791=0,"GRID",IF(D791&gt;=Control!$B$17,"FINISHED",IF(AND(A791&gt;=INDEX(Drivers!$G$8:$G$13,B791),A791&lt;INDEX(Drivers!$G$8:$G$13,B791)+INDEX(Drivers!$J$8:$J$13,B791)),"PIT",IF(MOD(A791+INDEX(Drivers!$F$8:$F$13,B791),Control!$B$11)&lt;Control!$B$13,"BOOST","RACE"))))</x:f>
        <x:v>RACE</x:v>
      </x:c>
      <x:c r="F791" s="83" t="n">
        <x:f>IF(OR(E791="GRID",E791="FINISHED",E791="PIT"),0,MAX(Control!$B$15,(INDEX(Drivers!$D$8:$D$13,B791)+INDEX(Drivers!$E$8:$E$13,B791)*SIN((A791+INDEX(Drivers!$F$8:$F$13,B791)+Control!$B$16)*Control!$B$14))*INDEX(TrackMap!$M$8:$M$141,MOD(INT(D791)-1,Control!$B$7)+1)*IF(E791="BOOST",Control!$B$12,1)))</x:f>
        <x:v>2.365638719934815</x:v>
      </x:c>
      <x:c r="G791" s="83" t="n">
        <x:f>IF(A791=0,D791,MIN(Control!$B$17,D791+F791))</x:f>
        <x:v>431.0922932305934</x:v>
      </x:c>
      <x:c r="H791" s="73" t="n">
        <x:f>MOD(INT(G791)-1,Control!$B$7)+1</x:f>
        <x:v>29</x:v>
      </x:c>
      <x:c r="I791" s="73" t="n">
        <x:f>MIN(Control!$B$6,MAX(1,INT(MAX(0,G791)/Control!$B$7)+1))</x:f>
        <x:v>4</x:v>
      </x:c>
      <x:c r="J791" s="73" t="n">
        <x:f>INDEX(Drivers!$H$8:$H$13,B791)</x:f>
        <x:v>2</x:v>
      </x:c>
      <x:c r="K791" s="73" t="n">
        <x:f>IF(J791=1,INDEX(TrackMap!$I$8:$I$141,H791),INDEX(TrackMap!$L$8:$L$141,H791))</x:f>
        <x:v>1611</x:v>
      </x:c>
      <x:c r="L791" s="73" t="str">
        <x:f>INDEX(TrackMap!$F$8:$F$141,H791)</x:f>
        <x:v>↑</x:v>
      </x:c>
      <x:c r="M791" s="87" t="n">
        <x:f>MAX(0,G791/Control!$B$17)</x:f>
        <x:v>0.6434213331799902</x:v>
      </x:c>
      <x:c r="N791" s="73" t="n">
        <x:f>IF(N785&gt;0,N785,IF(G791&gt;=Control!$B$17,A791,0))</x:f>
        <x:v>0</x:v>
      </x:c>
      <x:c r="O791" s="91" t="n">
        <x:f>IF(N791&gt;0,Control!$B$17+Control!$B$8+1-N791,G791)-B791/100000</x:f>
        <x:v>431.09225323059337</x:v>
      </x:c>
      <x:c r="P791" s="73" t="n">
        <x:f>COUNTIF($O$788:$O$793,"&gt;"&amp;O791)+1</x:f>
        <x:v>5</x:v>
      </x:c>
      <x:c r="Q791" s="83" t="n">
        <x:f>MAX($G$788:$G$793)-G791</x:f>
        <x:v>18.431157551799515</x:v>
      </x:c>
      <x:c r="R791" s="73" t="str">
        <x:f>INDEX(TrackMap!$B$8:$B$141,H791)</x:f>
        <x:v>西侧上坡弯</x:v>
      </x:c>
    </x:row>
    <x:row r="792" ht="20" customHeight="1">
      <x:c r="A792" s="73" t="n">
        <x:v>130</x:v>
      </x:c>
      <x:c r="B792" s="73" t="n">
        <x:v>5</x:v>
      </x:c>
      <x:c r="C792" s="73" t="str">
        <x:f>INDEX(Drivers!$B$8:$B$13,B792)</x:f>
        <x:v>青锋</x:v>
      </x:c>
      <x:c r="D792" s="83" t="n">
        <x:f>G786</x:f>
        <x:v>447.0880622984189</x:v>
      </x:c>
      <x:c r="E792" s="83" t="str">
        <x:f>IF(A792=0,"GRID",IF(D792&gt;=Control!$B$17,"FINISHED",IF(AND(A792&gt;=INDEX(Drivers!$G$8:$G$13,B792),A792&lt;INDEX(Drivers!$G$8:$G$13,B792)+INDEX(Drivers!$J$8:$J$13,B792)),"PIT",IF(MOD(A792+INDEX(Drivers!$F$8:$F$13,B792),Control!$B$11)&lt;Control!$B$13,"BOOST","RACE"))))</x:f>
        <x:v>RACE</x:v>
      </x:c>
      <x:c r="F792" s="83" t="n">
        <x:f>IF(OR(E792="GRID",E792="FINISHED",E792="PIT"),0,MAX(Control!$B$15,(INDEX(Drivers!$D$8:$D$13,B792)+INDEX(Drivers!$E$8:$E$13,B792)*SIN((A792+INDEX(Drivers!$F$8:$F$13,B792)+Control!$B$16)*Control!$B$14))*INDEX(TrackMap!$M$8:$M$141,MOD(INT(D792)-1,Control!$B$7)+1)*IF(E792="BOOST",Control!$B$12,1)))</x:f>
        <x:v>2.435388483973999</x:v>
      </x:c>
      <x:c r="G792" s="83" t="n">
        <x:f>IF(A792=0,D792,MIN(Control!$B$17,D792+F792))</x:f>
        <x:v>449.5234507823929</x:v>
      </x:c>
      <x:c r="H792" s="73" t="n">
        <x:f>MOD(INT(G792)-1,Control!$B$7)+1</x:f>
        <x:v>47</x:v>
      </x:c>
      <x:c r="I792" s="73" t="n">
        <x:f>MIN(Control!$B$6,MAX(1,INT(MAX(0,G792)/Control!$B$7)+1))</x:f>
        <x:v>4</x:v>
      </x:c>
      <x:c r="J792" s="73" t="n">
        <x:f>INDEX(Drivers!$H$8:$H$13,B792)</x:f>
        <x:v>1</x:v>
      </x:c>
      <x:c r="K792" s="73" t="n">
        <x:f>IF(J792=1,INDEX(TrackMap!$I$8:$I$141,H792),INDEX(TrackMap!$L$8:$L$141,H792))</x:f>
        <x:v>1419</x:v>
      </x:c>
      <x:c r="L792" s="73" t="str">
        <x:f>INDEX(TrackMap!$F$8:$F$141,H792)</x:f>
        <x:v>↓</x:v>
      </x:c>
      <x:c r="M792" s="87" t="n">
        <x:f>MAX(0,G792/Control!$B$17)</x:f>
        <x:v>0.6709305235558103</x:v>
      </x:c>
      <x:c r="N792" s="73" t="n">
        <x:f>IF(N786&gt;0,N786,IF(G792&gt;=Control!$B$17,A792,0))</x:f>
        <x:v>0</x:v>
      </x:c>
      <x:c r="O792" s="91" t="n">
        <x:f>IF(N792&gt;0,Control!$B$17+Control!$B$8+1-N792,G792)-B792/100000</x:f>
        <x:v>449.5234007823929</x:v>
      </x:c>
      <x:c r="P792" s="73" t="n">
        <x:f>COUNTIF($O$788:$O$793,"&gt;"&amp;O792)+1</x:f>
        <x:v>1</x:v>
      </x:c>
      <x:c r="Q792" s="83" t="n">
        <x:f>MAX($G$788:$G$793)-G792</x:f>
        <x:v>0</x:v>
      </x:c>
      <x:c r="R792" s="73" t="str">
        <x:f>INDEX(TrackMap!$B$8:$B$141,H792)</x:f>
        <x:v>中段下行弯</x:v>
      </x:c>
    </x:row>
    <x:row r="793" ht="20" customHeight="1">
      <x:c r="A793" s="73" t="n">
        <x:v>130</x:v>
      </x:c>
      <x:c r="B793" s="73" t="n">
        <x:v>6</x:v>
      </x:c>
      <x:c r="C793" s="73" t="str">
        <x:f>INDEX(Drivers!$B$8:$B$13,B793)</x:f>
        <x:v>玫速</x:v>
      </x:c>
      <x:c r="D793" s="83" t="n">
        <x:f>G787</x:f>
        <x:v>445.96488742804706</x:v>
      </x:c>
      <x:c r="E793" s="83" t="str">
        <x:f>IF(A793=0,"GRID",IF(D793&gt;=Control!$B$17,"FINISHED",IF(AND(A793&gt;=INDEX(Drivers!$G$8:$G$13,B793),A793&lt;INDEX(Drivers!$G$8:$G$13,B793)+INDEX(Drivers!$J$8:$J$13,B793)),"PIT",IF(MOD(A793+INDEX(Drivers!$F$8:$F$13,B793),Control!$B$11)&lt;Control!$B$13,"BOOST","RACE"))))</x:f>
        <x:v>RACE</x:v>
      </x:c>
      <x:c r="F793" s="83" t="n">
        <x:f>IF(OR(E793="GRID",E793="FINISHED",E793="PIT"),0,MAX(Control!$B$15,(INDEX(Drivers!$D$8:$D$13,B793)+INDEX(Drivers!$E$8:$E$13,B793)*SIN((A793+INDEX(Drivers!$F$8:$F$13,B793)+Control!$B$16)*Control!$B$14))*INDEX(TrackMap!$M$8:$M$141,MOD(INT(D793)-1,Control!$B$7)+1)*IF(E793="BOOST",Control!$B$12,1)))</x:f>
        <x:v>3.2065567394742307</x:v>
      </x:c>
      <x:c r="G793" s="83" t="n">
        <x:f>IF(A793=0,D793,MIN(Control!$B$17,D793+F793))</x:f>
        <x:v>449.1714441675213</x:v>
      </x:c>
      <x:c r="H793" s="73" t="n">
        <x:f>MOD(INT(G793)-1,Control!$B$7)+1</x:f>
        <x:v>47</x:v>
      </x:c>
      <x:c r="I793" s="73" t="n">
        <x:f>MIN(Control!$B$6,MAX(1,INT(MAX(0,G793)/Control!$B$7)+1))</x:f>
        <x:v>4</x:v>
      </x:c>
      <x:c r="J793" s="73" t="n">
        <x:f>INDEX(Drivers!$H$8:$H$13,B793)</x:f>
        <x:v>2</x:v>
      </x:c>
      <x:c r="K793" s="73" t="n">
        <x:f>IF(J793=1,INDEX(TrackMap!$I$8:$I$141,H793),INDEX(TrackMap!$L$8:$L$141,H793))</x:f>
        <x:v>1420</x:v>
      </x:c>
      <x:c r="L793" s="73" t="str">
        <x:f>INDEX(TrackMap!$F$8:$F$141,H793)</x:f>
        <x:v>↓</x:v>
      </x:c>
      <x:c r="M793" s="87" t="n">
        <x:f>MAX(0,G793/Control!$B$17)</x:f>
        <x:v>0.6704051405485393</x:v>
      </x:c>
      <x:c r="N793" s="73" t="n">
        <x:f>IF(N787&gt;0,N787,IF(G793&gt;=Control!$B$17,A793,0))</x:f>
        <x:v>0</x:v>
      </x:c>
      <x:c r="O793" s="91" t="n">
        <x:f>IF(N793&gt;0,Control!$B$17+Control!$B$8+1-N793,G793)-B793/100000</x:f>
        <x:v>449.1713841675213</x:v>
      </x:c>
      <x:c r="P793" s="73" t="n">
        <x:f>COUNTIF($O$788:$O$793,"&gt;"&amp;O793)+1</x:f>
        <x:v>2</x:v>
      </x:c>
      <x:c r="Q793" s="83" t="n">
        <x:f>MAX($G$788:$G$793)-G793</x:f>
        <x:v>0.35200661487158413</x:v>
      </x:c>
      <x:c r="R793" s="73" t="str">
        <x:f>INDEX(TrackMap!$B$8:$B$141,H793)</x:f>
        <x:v>中段下行弯</x:v>
      </x:c>
    </x:row>
    <x:row r="794" ht="20" customHeight="1">
      <x:c r="A794" s="73" t="n">
        <x:v>131</x:v>
      </x:c>
      <x:c r="B794" s="73" t="n">
        <x:v>1</x:v>
      </x:c>
      <x:c r="C794" s="73" t="str">
        <x:f>INDEX(Drivers!$B$8:$B$13,B794)</x:f>
        <x:v>赤焰</x:v>
      </x:c>
      <x:c r="D794" s="83" t="n">
        <x:f>G788</x:f>
        <x:v>446.5046529305503</x:v>
      </x:c>
      <x:c r="E794" s="83" t="str">
        <x:f>IF(A794=0,"GRID",IF(D794&gt;=Control!$B$17,"FINISHED",IF(AND(A794&gt;=INDEX(Drivers!$G$8:$G$13,B794),A794&lt;INDEX(Drivers!$G$8:$G$13,B794)+INDEX(Drivers!$J$8:$J$13,B794)),"PIT",IF(MOD(A794+INDEX(Drivers!$F$8:$F$13,B794),Control!$B$11)&lt;Control!$B$13,"BOOST","RACE"))))</x:f>
        <x:v>RACE</x:v>
      </x:c>
      <x:c r="F794" s="83" t="n">
        <x:f>IF(OR(E794="GRID",E794="FINISHED",E794="PIT"),0,MAX(Control!$B$15,(INDEX(Drivers!$D$8:$D$13,B794)+INDEX(Drivers!$E$8:$E$13,B794)*SIN((A794+INDEX(Drivers!$F$8:$F$13,B794)+Control!$B$16)*Control!$B$14))*INDEX(TrackMap!$M$8:$M$141,MOD(INT(D794)-1,Control!$B$7)+1)*IF(E794="BOOST",Control!$B$12,1)))</x:f>
        <x:v>2.7438071982855146</x:v>
      </x:c>
      <x:c r="G794" s="83" t="n">
        <x:f>IF(A794=0,D794,MIN(Control!$B$17,D794+F794))</x:f>
        <x:v>449.24846012883586</x:v>
      </x:c>
      <x:c r="H794" s="73" t="n">
        <x:f>MOD(INT(G794)-1,Control!$B$7)+1</x:f>
        <x:v>47</x:v>
      </x:c>
      <x:c r="I794" s="73" t="n">
        <x:f>MIN(Control!$B$6,MAX(1,INT(MAX(0,G794)/Control!$B$7)+1))</x:f>
        <x:v>4</x:v>
      </x:c>
      <x:c r="J794" s="73" t="n">
        <x:f>INDEX(Drivers!$H$8:$H$13,B794)</x:f>
        <x:v>1</x:v>
      </x:c>
      <x:c r="K794" s="73" t="n">
        <x:f>IF(J794=1,INDEX(TrackMap!$I$8:$I$141,H794),INDEX(TrackMap!$L$8:$L$141,H794))</x:f>
        <x:v>1419</x:v>
      </x:c>
      <x:c r="L794" s="73" t="str">
        <x:f>INDEX(TrackMap!$F$8:$F$141,H794)</x:f>
        <x:v>↓</x:v>
      </x:c>
      <x:c r="M794" s="87" t="n">
        <x:f>MAX(0,G794/Control!$B$17)</x:f>
        <x:v>0.6705200897445311</x:v>
      </x:c>
      <x:c r="N794" s="73" t="n">
        <x:f>IF(N788&gt;0,N788,IF(G794&gt;=Control!$B$17,A794,0))</x:f>
        <x:v>0</x:v>
      </x:c>
      <x:c r="O794" s="91" t="n">
        <x:f>IF(N794&gt;0,Control!$B$17+Control!$B$8+1-N794,G794)-B794/100000</x:f>
        <x:v>449.2484501288359</x:v>
      </x:c>
      <x:c r="P794" s="73" t="n">
        <x:f>COUNTIF($O$794:$O$799,"&gt;"&amp;O794)+1</x:f>
        <x:v>3</x:v>
      </x:c>
      <x:c r="Q794" s="83" t="n">
        <x:f>MAX($G$794:$G$799)-G794</x:f>
        <x:v>4.155745771303714</x:v>
      </x:c>
      <x:c r="R794" s="73" t="str">
        <x:f>INDEX(TrackMap!$B$8:$B$141,H794)</x:f>
        <x:v>中段下行弯</x:v>
      </x:c>
    </x:row>
    <x:row r="795" ht="20" customHeight="1">
      <x:c r="A795" s="73" t="n">
        <x:v>131</x:v>
      </x:c>
      <x:c r="B795" s="73" t="n">
        <x:v>2</x:v>
      </x:c>
      <x:c r="C795" s="73" t="str">
        <x:f>INDEX(Drivers!$B$8:$B$13,B795)</x:f>
        <x:v>蓝电</x:v>
      </x:c>
      <x:c r="D795" s="83" t="n">
        <x:f>G789</x:f>
        <x:v>427.69787313566064</x:v>
      </x:c>
      <x:c r="E795" s="83" t="str">
        <x:f>IF(A795=0,"GRID",IF(D795&gt;=Control!$B$17,"FINISHED",IF(AND(A795&gt;=INDEX(Drivers!$G$8:$G$13,B795),A795&lt;INDEX(Drivers!$G$8:$G$13,B795)+INDEX(Drivers!$J$8:$J$13,B795)),"PIT",IF(MOD(A795+INDEX(Drivers!$F$8:$F$13,B795),Control!$B$11)&lt;Control!$B$13,"BOOST","RACE"))))</x:f>
        <x:v>RACE</x:v>
      </x:c>
      <x:c r="F795" s="83" t="n">
        <x:f>IF(OR(E795="GRID",E795="FINISHED",E795="PIT"),0,MAX(Control!$B$15,(INDEX(Drivers!$D$8:$D$13,B795)+INDEX(Drivers!$E$8:$E$13,B795)*SIN((A795+INDEX(Drivers!$F$8:$F$13,B795)+Control!$B$16)*Control!$B$14))*INDEX(TrackMap!$M$8:$M$141,MOD(INT(D795)-1,Control!$B$7)+1)*IF(E795="BOOST",Control!$B$12,1)))</x:f>
        <x:v>2.650226451464415</x:v>
      </x:c>
      <x:c r="G795" s="83" t="n">
        <x:f>IF(A795=0,D795,MIN(Control!$B$17,D795+F795))</x:f>
        <x:v>430.34809958712503</x:v>
      </x:c>
      <x:c r="H795" s="73" t="n">
        <x:f>MOD(INT(G795)-1,Control!$B$7)+1</x:f>
        <x:v>28</x:v>
      </x:c>
      <x:c r="I795" s="73" t="n">
        <x:f>MIN(Control!$B$6,MAX(1,INT(MAX(0,G795)/Control!$B$7)+1))</x:f>
        <x:v>4</x:v>
      </x:c>
      <x:c r="J795" s="73" t="n">
        <x:f>INDEX(Drivers!$H$8:$H$13,B795)</x:f>
        <x:v>2</x:v>
      </x:c>
      <x:c r="K795" s="73" t="n">
        <x:f>IF(J795=1,INDEX(TrackMap!$I$8:$I$141,H795),INDEX(TrackMap!$L$8:$L$141,H795))</x:f>
        <x:v>1711</x:v>
      </x:c>
      <x:c r="L795" s="73" t="str">
        <x:f>INDEX(TrackMap!$F$8:$F$141,H795)</x:f>
        <x:v>↑</x:v>
      </x:c>
      <x:c r="M795" s="87" t="n">
        <x:f>MAX(0,G795/Control!$B$17)</x:f>
        <x:v>0.642310596398694</x:v>
      </x:c>
      <x:c r="N795" s="73" t="n">
        <x:f>IF(N789&gt;0,N789,IF(G795&gt;=Control!$B$17,A795,0))</x:f>
        <x:v>0</x:v>
      </x:c>
      <x:c r="O795" s="91" t="n">
        <x:f>IF(N795&gt;0,Control!$B$17+Control!$B$8+1-N795,G795)-B795/100000</x:f>
        <x:v>430.348079587125</x:v>
      </x:c>
      <x:c r="P795" s="73" t="n">
        <x:f>COUNTIF($O$794:$O$799,"&gt;"&amp;O795)+1</x:f>
        <x:v>6</x:v>
      </x:c>
      <x:c r="Q795" s="83" t="n">
        <x:f>MAX($G$794:$G$799)-G795</x:f>
        <x:v>23.05610631301454</x:v>
      </x:c>
      <x:c r="R795" s="73" t="str">
        <x:f>INDEX(TrackMap!$B$8:$B$141,H795)</x:f>
        <x:v>西侧上坡弯</x:v>
      </x:c>
    </x:row>
    <x:row r="796" ht="20" customHeight="1">
      <x:c r="A796" s="73" t="n">
        <x:v>131</x:v>
      </x:c>
      <x:c r="B796" s="73" t="n">
        <x:v>3</x:v>
      </x:c>
      <x:c r="C796" s="73" t="str">
        <x:f>INDEX(Drivers!$B$8:$B$13,B796)</x:f>
        <x:v>金翼</x:v>
      </x:c>
      <x:c r="D796" s="83" t="n">
        <x:f>G790</x:f>
        <x:v>439.60963861229664</x:v>
      </x:c>
      <x:c r="E796" s="83" t="str">
        <x:f>IF(A796=0,"GRID",IF(D796&gt;=Control!$B$17,"FINISHED",IF(AND(A796&gt;=INDEX(Drivers!$G$8:$G$13,B796),A796&lt;INDEX(Drivers!$G$8:$G$13,B796)+INDEX(Drivers!$J$8:$J$13,B796)),"PIT",IF(MOD(A796+INDEX(Drivers!$F$8:$F$13,B796),Control!$B$11)&lt;Control!$B$13,"BOOST","RACE"))))</x:f>
        <x:v>RACE</x:v>
      </x:c>
      <x:c r="F796" s="83" t="n">
        <x:f>IF(OR(E796="GRID",E796="FINISHED",E796="PIT"),0,MAX(Control!$B$15,(INDEX(Drivers!$D$8:$D$13,B796)+INDEX(Drivers!$E$8:$E$13,B796)*SIN((A796+INDEX(Drivers!$F$8:$F$13,B796)+Control!$B$16)*Control!$B$14))*INDEX(TrackMap!$M$8:$M$141,MOD(INT(D796)-1,Control!$B$7)+1)*IF(E796="BOOST",Control!$B$12,1)))</x:f>
        <x:v>3.181624853078429</x:v>
      </x:c>
      <x:c r="G796" s="83" t="n">
        <x:f>IF(A796=0,D796,MIN(Control!$B$17,D796+F796))</x:f>
        <x:v>442.79126346537504</x:v>
      </x:c>
      <x:c r="H796" s="73" t="n">
        <x:f>MOD(INT(G796)-1,Control!$B$7)+1</x:f>
        <x:v>40</x:v>
      </x:c>
      <x:c r="I796" s="73" t="n">
        <x:f>MIN(Control!$B$6,MAX(1,INT(MAX(0,G796)/Control!$B$7)+1))</x:f>
        <x:v>4</x:v>
      </x:c>
      <x:c r="J796" s="73" t="n">
        <x:f>INDEX(Drivers!$H$8:$H$13,B796)</x:f>
        <x:v>1</x:v>
      </x:c>
      <x:c r="K796" s="73" t="n">
        <x:f>IF(J796=1,INDEX(TrackMap!$I$8:$I$141,H796),INDEX(TrackMap!$L$8:$L$141,H796))</x:f>
        <x:v>816</x:v>
      </x:c>
      <x:c r="L796" s="73" t="str">
        <x:f>INDEX(TrackMap!$F$8:$F$141,H796)</x:f>
        <x:v>→</x:v>
      </x:c>
      <x:c r="M796" s="87" t="n">
        <x:f>MAX(0,G796/Control!$B$17)</x:f>
        <x:v>0.6608824827841419</x:v>
      </x:c>
      <x:c r="N796" s="73" t="n">
        <x:f>IF(N790&gt;0,N790,IF(G796&gt;=Control!$B$17,A796,0))</x:f>
        <x:v>0</x:v>
      </x:c>
      <x:c r="O796" s="91" t="n">
        <x:f>IF(N796&gt;0,Control!$B$17+Control!$B$8+1-N796,G796)-B796/100000</x:f>
        <x:v>442.79123346537506</x:v>
      </x:c>
      <x:c r="P796" s="73" t="n">
        <x:f>COUNTIF($O$794:$O$799,"&gt;"&amp;O796)+1</x:f>
        <x:v>4</x:v>
      </x:c>
      <x:c r="Q796" s="83" t="n">
        <x:f>MAX($G$794:$G$799)-G796</x:f>
        <x:v>10.612942434764534</x:v>
      </x:c>
      <x:c r="R796" s="73" t="str">
        <x:f>INDEX(TrackMap!$B$8:$B$141,H796)</x:f>
        <x:v>西侧发卡弯</x:v>
      </x:c>
    </x:row>
    <x:row r="797" ht="20" customHeight="1">
      <x:c r="A797" s="73" t="n">
        <x:v>131</x:v>
      </x:c>
      <x:c r="B797" s="73" t="n">
        <x:v>4</x:v>
      </x:c>
      <x:c r="C797" s="73" t="str">
        <x:f>INDEX(Drivers!$B$8:$B$13,B797)</x:f>
        <x:v>紫影</x:v>
      </x:c>
      <x:c r="D797" s="83" t="n">
        <x:f>G791</x:f>
        <x:v>431.0922932305934</x:v>
      </x:c>
      <x:c r="E797" s="83" t="str">
        <x:f>IF(A797=0,"GRID",IF(D797&gt;=Control!$B$17,"FINISHED",IF(AND(A797&gt;=INDEX(Drivers!$G$8:$G$13,B797),A797&lt;INDEX(Drivers!$G$8:$G$13,B797)+INDEX(Drivers!$J$8:$J$13,B797)),"PIT",IF(MOD(A797+INDEX(Drivers!$F$8:$F$13,B797),Control!$B$11)&lt;Control!$B$13,"BOOST","RACE"))))</x:f>
        <x:v>BOOST</x:v>
      </x:c>
      <x:c r="F797" s="83" t="n">
        <x:f>IF(OR(E797="GRID",E797="FINISHED",E797="PIT"),0,MAX(Control!$B$15,(INDEX(Drivers!$D$8:$D$13,B797)+INDEX(Drivers!$E$8:$E$13,B797)*SIN((A797+INDEX(Drivers!$F$8:$F$13,B797)+Control!$B$16)*Control!$B$14))*INDEX(TrackMap!$M$8:$M$141,MOD(INT(D797)-1,Control!$B$7)+1)*IF(E797="BOOST",Control!$B$12,1)))</x:f>
        <x:v>4.0868696438727055</x:v>
      </x:c>
      <x:c r="G797" s="83" t="n">
        <x:f>IF(A797=0,D797,MIN(Control!$B$17,D797+F797))</x:f>
        <x:v>435.1791628744661</x:v>
      </x:c>
      <x:c r="H797" s="73" t="n">
        <x:f>MOD(INT(G797)-1,Control!$B$7)+1</x:f>
        <x:v>33</x:v>
      </x:c>
      <x:c r="I797" s="73" t="n">
        <x:f>MIN(Control!$B$6,MAX(1,INT(MAX(0,G797)/Control!$B$7)+1))</x:f>
        <x:v>4</x:v>
      </x:c>
      <x:c r="J797" s="73" t="n">
        <x:f>INDEX(Drivers!$H$8:$H$13,B797)</x:f>
        <x:v>2</x:v>
      </x:c>
      <x:c r="K797" s="73" t="n">
        <x:f>IF(J797=1,INDEX(TrackMap!$I$8:$I$141,H797),INDEX(TrackMap!$L$8:$L$141,H797))</x:f>
        <x:v>1211</x:v>
      </x:c>
      <x:c r="L797" s="73" t="str">
        <x:f>INDEX(TrackMap!$F$8:$F$141,H797)</x:f>
        <x:v>↑</x:v>
      </x:c>
      <x:c r="M797" s="87" t="n">
        <x:f>MAX(0,G797/Control!$B$17)</x:f>
        <x:v>0.6495211386186062</x:v>
      </x:c>
      <x:c r="N797" s="73" t="n">
        <x:f>IF(N791&gt;0,N791,IF(G797&gt;=Control!$B$17,A797,0))</x:f>
        <x:v>0</x:v>
      </x:c>
      <x:c r="O797" s="91" t="n">
        <x:f>IF(N797&gt;0,Control!$B$17+Control!$B$8+1-N797,G797)-B797/100000</x:f>
        <x:v>435.1791228744661</x:v>
      </x:c>
      <x:c r="P797" s="73" t="n">
        <x:f>COUNTIF($O$794:$O$799,"&gt;"&amp;O797)+1</x:f>
        <x:v>5</x:v>
      </x:c>
      <x:c r="Q797" s="83" t="n">
        <x:f>MAX($G$794:$G$799)-G797</x:f>
        <x:v>18.22504302567347</x:v>
      </x:c>
      <x:c r="R797" s="73" t="str">
        <x:f>INDEX(TrackMap!$B$8:$B$141,H797)</x:f>
        <x:v>西侧上坡弯</x:v>
      </x:c>
    </x:row>
    <x:row r="798" ht="20" customHeight="1">
      <x:c r="A798" s="73" t="n">
        <x:v>131</x:v>
      </x:c>
      <x:c r="B798" s="73" t="n">
        <x:v>5</x:v>
      </x:c>
      <x:c r="C798" s="73" t="str">
        <x:f>INDEX(Drivers!$B$8:$B$13,B798)</x:f>
        <x:v>青锋</x:v>
      </x:c>
      <x:c r="D798" s="83" t="n">
        <x:f>G792</x:f>
        <x:v>449.5234507823929</x:v>
      </x:c>
      <x:c r="E798" s="83" t="str">
        <x:f>IF(A798=0,"GRID",IF(D798&gt;=Control!$B$17,"FINISHED",IF(AND(A798&gt;=INDEX(Drivers!$G$8:$G$13,B798),A798&lt;INDEX(Drivers!$G$8:$G$13,B798)+INDEX(Drivers!$J$8:$J$13,B798)),"PIT",IF(MOD(A798+INDEX(Drivers!$F$8:$F$13,B798),Control!$B$11)&lt;Control!$B$13,"BOOST","RACE"))))</x:f>
        <x:v>RACE</x:v>
      </x:c>
      <x:c r="F798" s="83" t="n">
        <x:f>IF(OR(E798="GRID",E798="FINISHED",E798="PIT"),0,MAX(Control!$B$15,(INDEX(Drivers!$D$8:$D$13,B798)+INDEX(Drivers!$E$8:$E$13,B798)*SIN((A798+INDEX(Drivers!$F$8:$F$13,B798)+Control!$B$16)*Control!$B$14))*INDEX(TrackMap!$M$8:$M$141,MOD(INT(D798)-1,Control!$B$7)+1)*IF(E798="BOOST",Control!$B$12,1)))</x:f>
        <x:v>3.116005610067779</x:v>
      </x:c>
      <x:c r="G798" s="83" t="n">
        <x:f>IF(A798=0,D798,MIN(Control!$B$17,D798+F798))</x:f>
        <x:v>452.63945639246066</x:v>
      </x:c>
      <x:c r="H798" s="73" t="n">
        <x:f>MOD(INT(G798)-1,Control!$B$7)+1</x:f>
        <x:v>50</x:v>
      </x:c>
      <x:c r="I798" s="73" t="n">
        <x:f>MIN(Control!$B$6,MAX(1,INT(MAX(0,G798)/Control!$B$7)+1))</x:f>
        <x:v>4</x:v>
      </x:c>
      <x:c r="J798" s="73" t="n">
        <x:f>INDEX(Drivers!$H$8:$H$13,B798)</x:f>
        <x:v>1</x:v>
      </x:c>
      <x:c r="K798" s="73" t="n">
        <x:f>IF(J798=1,INDEX(TrackMap!$I$8:$I$141,H798),INDEX(TrackMap!$L$8:$L$141,H798))</x:f>
        <x:v>1623</x:v>
      </x:c>
      <x:c r="L798" s="73" t="str">
        <x:f>INDEX(TrackMap!$F$8:$F$141,H798)</x:f>
        <x:v>→</x:v>
      </x:c>
      <x:c r="M798" s="87" t="n">
        <x:f>MAX(0,G798/Control!$B$17)</x:f>
        <x:v>0.6755812781977025</x:v>
      </x:c>
      <x:c r="N798" s="73" t="n">
        <x:f>IF(N792&gt;0,N792,IF(G798&gt;=Control!$B$17,A798,0))</x:f>
        <x:v>0</x:v>
      </x:c>
      <x:c r="O798" s="91" t="n">
        <x:f>IF(N798&gt;0,Control!$B$17+Control!$B$8+1-N798,G798)-B798/100000</x:f>
        <x:v>452.63940639246067</x:v>
      </x:c>
      <x:c r="P798" s="73" t="n">
        <x:f>COUNTIF($O$794:$O$799,"&gt;"&amp;O798)+1</x:f>
        <x:v>2</x:v>
      </x:c>
      <x:c r="Q798" s="83" t="n">
        <x:f>MAX($G$794:$G$799)-G798</x:f>
        <x:v>0.7647495076789141</x:v>
      </x:c>
      <x:c r="R798" s="73" t="str">
        <x:f>INDEX(TrackMap!$B$8:$B$141,H798)</x:f>
        <x:v>中央高速直道</x:v>
      </x:c>
    </x:row>
    <x:row r="799" ht="20" customHeight="1">
      <x:c r="A799" s="73" t="n">
        <x:v>131</x:v>
      </x:c>
      <x:c r="B799" s="73" t="n">
        <x:v>6</x:v>
      </x:c>
      <x:c r="C799" s="73" t="str">
        <x:f>INDEX(Drivers!$B$8:$B$13,B799)</x:f>
        <x:v>玫速</x:v>
      </x:c>
      <x:c r="D799" s="83" t="n">
        <x:f>G793</x:f>
        <x:v>449.1714441675213</x:v>
      </x:c>
      <x:c r="E799" s="83" t="str">
        <x:f>IF(A799=0,"GRID",IF(D799&gt;=Control!$B$17,"FINISHED",IF(AND(A799&gt;=INDEX(Drivers!$G$8:$G$13,B799),A799&lt;INDEX(Drivers!$G$8:$G$13,B799)+INDEX(Drivers!$J$8:$J$13,B799)),"PIT",IF(MOD(A799+INDEX(Drivers!$F$8:$F$13,B799),Control!$B$11)&lt;Control!$B$13,"BOOST","RACE"))))</x:f>
        <x:v>RACE</x:v>
      </x:c>
      <x:c r="F799" s="83" t="n">
        <x:f>IF(OR(E799="GRID",E799="FINISHED",E799="PIT"),0,MAX(Control!$B$15,(INDEX(Drivers!$D$8:$D$13,B799)+INDEX(Drivers!$E$8:$E$13,B799)*SIN((A799+INDEX(Drivers!$F$8:$F$13,B799)+Control!$B$16)*Control!$B$14))*INDEX(TrackMap!$M$8:$M$141,MOD(INT(D799)-1,Control!$B$7)+1)*IF(E799="BOOST",Control!$B$12,1)))</x:f>
        <x:v>4.232761732618246</x:v>
      </x:c>
      <x:c r="G799" s="83" t="n">
        <x:f>IF(A799=0,D799,MIN(Control!$B$17,D799+F799))</x:f>
        <x:v>453.4042059001396</x:v>
      </x:c>
      <x:c r="H799" s="73" t="n">
        <x:f>MOD(INT(G799)-1,Control!$B$7)+1</x:f>
        <x:v>51</x:v>
      </x:c>
      <x:c r="I799" s="73" t="n">
        <x:f>MIN(Control!$B$6,MAX(1,INT(MAX(0,G799)/Control!$B$7)+1))</x:f>
        <x:v>4</x:v>
      </x:c>
      <x:c r="J799" s="73" t="n">
        <x:f>INDEX(Drivers!$H$8:$H$13,B799)</x:f>
        <x:v>2</x:v>
      </x:c>
      <x:c r="K799" s="73" t="n">
        <x:f>IF(J799=1,INDEX(TrackMap!$I$8:$I$141,H799),INDEX(TrackMap!$L$8:$L$141,H799))</x:f>
        <x:v>1524</x:v>
      </x:c>
      <x:c r="L799" s="73" t="str">
        <x:f>INDEX(TrackMap!$F$8:$F$141,H799)</x:f>
        <x:v>→</x:v>
      </x:c>
      <x:c r="M799" s="87" t="n">
        <x:f>MAX(0,G799/Control!$B$17)</x:f>
        <x:v>0.6767226953733426</x:v>
      </x:c>
      <x:c r="N799" s="73" t="n">
        <x:f>IF(N793&gt;0,N793,IF(G799&gt;=Control!$B$17,A799,0))</x:f>
        <x:v>0</x:v>
      </x:c>
      <x:c r="O799" s="91" t="n">
        <x:f>IF(N799&gt;0,Control!$B$17+Control!$B$8+1-N799,G799)-B799/100000</x:f>
        <x:v>453.40414590013955</x:v>
      </x:c>
      <x:c r="P799" s="73" t="n">
        <x:f>COUNTIF($O$794:$O$799,"&gt;"&amp;O799)+1</x:f>
        <x:v>1</x:v>
      </x:c>
      <x:c r="Q799" s="83" t="n">
        <x:f>MAX($G$794:$G$799)-G799</x:f>
        <x:v>0</x:v>
      </x:c>
      <x:c r="R799" s="73" t="str">
        <x:f>INDEX(TrackMap!$B$8:$B$141,H799)</x:f>
        <x:v>中央高速直道</x:v>
      </x:c>
    </x:row>
    <x:row r="800" ht="20" customHeight="1">
      <x:c r="A800" s="73" t="n">
        <x:v>132</x:v>
      </x:c>
      <x:c r="B800" s="73" t="n">
        <x:v>1</x:v>
      </x:c>
      <x:c r="C800" s="73" t="str">
        <x:f>INDEX(Drivers!$B$8:$B$13,B800)</x:f>
        <x:v>赤焰</x:v>
      </x:c>
      <x:c r="D800" s="83" t="n">
        <x:f>G794</x:f>
        <x:v>449.24846012883586</x:v>
      </x:c>
      <x:c r="E800" s="83" t="str">
        <x:f>IF(A800=0,"GRID",IF(D800&gt;=Control!$B$17,"FINISHED",IF(AND(A800&gt;=INDEX(Drivers!$G$8:$G$13,B800),A800&lt;INDEX(Drivers!$G$8:$G$13,B800)+INDEX(Drivers!$J$8:$J$13,B800)),"PIT",IF(MOD(A800+INDEX(Drivers!$F$8:$F$13,B800),Control!$B$11)&lt;Control!$B$13,"BOOST","RACE"))))</x:f>
        <x:v>RACE</x:v>
      </x:c>
      <x:c r="F800" s="83" t="n">
        <x:f>IF(OR(E800="GRID",E800="FINISHED",E800="PIT"),0,MAX(Control!$B$15,(INDEX(Drivers!$D$8:$D$13,B800)+INDEX(Drivers!$E$8:$E$13,B800)*SIN((A800+INDEX(Drivers!$F$8:$F$13,B800)+Control!$B$16)*Control!$B$14))*INDEX(TrackMap!$M$8:$M$141,MOD(INT(D800)-1,Control!$B$7)+1)*IF(E800="BOOST",Control!$B$12,1)))</x:f>
        <x:v>3.333605687865007</x:v>
      </x:c>
      <x:c r="G800" s="83" t="n">
        <x:f>IF(A800=0,D800,MIN(Control!$B$17,D800+F800))</x:f>
        <x:v>452.5820658167009</x:v>
      </x:c>
      <x:c r="H800" s="73" t="n">
        <x:f>MOD(INT(G800)-1,Control!$B$7)+1</x:f>
        <x:v>50</x:v>
      </x:c>
      <x:c r="I800" s="73" t="n">
        <x:f>MIN(Control!$B$6,MAX(1,INT(MAX(0,G800)/Control!$B$7)+1))</x:f>
        <x:v>4</x:v>
      </x:c>
      <x:c r="J800" s="73" t="n">
        <x:f>INDEX(Drivers!$H$8:$H$13,B800)</x:f>
        <x:v>1</x:v>
      </x:c>
      <x:c r="K800" s="73" t="n">
        <x:f>IF(J800=1,INDEX(TrackMap!$I$8:$I$141,H800),INDEX(TrackMap!$L$8:$L$141,H800))</x:f>
        <x:v>1623</x:v>
      </x:c>
      <x:c r="L800" s="73" t="str">
        <x:f>INDEX(TrackMap!$F$8:$F$141,H800)</x:f>
        <x:v>→</x:v>
      </x:c>
      <x:c r="M800" s="87" t="n">
        <x:f>MAX(0,G800/Control!$B$17)</x:f>
        <x:v>0.6754956206219416</x:v>
      </x:c>
      <x:c r="N800" s="73" t="n">
        <x:f>IF(N794&gt;0,N794,IF(G800&gt;=Control!$B$17,A800,0))</x:f>
        <x:v>0</x:v>
      </x:c>
      <x:c r="O800" s="91" t="n">
        <x:f>IF(N800&gt;0,Control!$B$17+Control!$B$8+1-N800,G800)-B800/100000</x:f>
        <x:v>452.5820558167009</x:v>
      </x:c>
      <x:c r="P800" s="73" t="n">
        <x:f>COUNTIF($O$800:$O$805,"&gt;"&amp;O800)+1</x:f>
        <x:v>3</x:v>
      </x:c>
      <x:c r="Q800" s="83" t="n">
        <x:f>MAX($G$800:$G$805)-G800</x:f>
        <x:v>5.101879662474687</x:v>
      </x:c>
      <x:c r="R800" s="73" t="str">
        <x:f>INDEX(TrackMap!$B$8:$B$141,H800)</x:f>
        <x:v>中央高速直道</x:v>
      </x:c>
    </x:row>
    <x:row r="801" ht="20" customHeight="1">
      <x:c r="A801" s="73" t="n">
        <x:v>132</x:v>
      </x:c>
      <x:c r="B801" s="73" t="n">
        <x:v>2</x:v>
      </x:c>
      <x:c r="C801" s="73" t="str">
        <x:f>INDEX(Drivers!$B$8:$B$13,B801)</x:f>
        <x:v>蓝电</x:v>
      </x:c>
      <x:c r="D801" s="83" t="n">
        <x:f>G795</x:f>
        <x:v>430.34809958712503</x:v>
      </x:c>
      <x:c r="E801" s="83" t="str">
        <x:f>IF(A801=0,"GRID",IF(D801&gt;=Control!$B$17,"FINISHED",IF(AND(A801&gt;=INDEX(Drivers!$G$8:$G$13,B801),A801&lt;INDEX(Drivers!$G$8:$G$13,B801)+INDEX(Drivers!$J$8:$J$13,B801)),"PIT",IF(MOD(A801+INDEX(Drivers!$F$8:$F$13,B801),Control!$B$11)&lt;Control!$B$13,"BOOST","RACE"))))</x:f>
        <x:v>RACE</x:v>
      </x:c>
      <x:c r="F801" s="83" t="n">
        <x:f>IF(OR(E801="GRID",E801="FINISHED",E801="PIT"),0,MAX(Control!$B$15,(INDEX(Drivers!$D$8:$D$13,B801)+INDEX(Drivers!$E$8:$E$13,B801)*SIN((A801+INDEX(Drivers!$F$8:$F$13,B801)+Control!$B$16)*Control!$B$14))*INDEX(TrackMap!$M$8:$M$141,MOD(INT(D801)-1,Control!$B$7)+1)*IF(E801="BOOST",Control!$B$12,1)))</x:f>
        <x:v>3.6167762745711007</x:v>
      </x:c>
      <x:c r="G801" s="83" t="n">
        <x:f>IF(A801=0,D801,MIN(Control!$B$17,D801+F801))</x:f>
        <x:v>433.96487586169616</x:v>
      </x:c>
      <x:c r="H801" s="73" t="n">
        <x:f>MOD(INT(G801)-1,Control!$B$7)+1</x:f>
        <x:v>31</x:v>
      </x:c>
      <x:c r="I801" s="73" t="n">
        <x:f>MIN(Control!$B$6,MAX(1,INT(MAX(0,G801)/Control!$B$7)+1))</x:f>
        <x:v>4</x:v>
      </x:c>
      <x:c r="J801" s="73" t="n">
        <x:f>INDEX(Drivers!$H$8:$H$13,B801)</x:f>
        <x:v>2</x:v>
      </x:c>
      <x:c r="K801" s="73" t="n">
        <x:f>IF(J801=1,INDEX(TrackMap!$I$8:$I$141,H801),INDEX(TrackMap!$L$8:$L$141,H801))</x:f>
        <x:v>1411</x:v>
      </x:c>
      <x:c r="L801" s="73" t="str">
        <x:f>INDEX(TrackMap!$F$8:$F$141,H801)</x:f>
        <x:v>↑</x:v>
      </x:c>
      <x:c r="M801" s="87" t="n">
        <x:f>MAX(0,G801/Control!$B$17)</x:f>
        <x:v>0.6477087699428301</x:v>
      </x:c>
      <x:c r="N801" s="73" t="n">
        <x:f>IF(N795&gt;0,N795,IF(G801&gt;=Control!$B$17,A801,0))</x:f>
        <x:v>0</x:v>
      </x:c>
      <x:c r="O801" s="91" t="n">
        <x:f>IF(N801&gt;0,Control!$B$17+Control!$B$8+1-N801,G801)-B801/100000</x:f>
        <x:v>433.96485586169615</x:v>
      </x:c>
      <x:c r="P801" s="73" t="n">
        <x:f>COUNTIF($O$800:$O$805,"&gt;"&amp;O801)+1</x:f>
        <x:v>6</x:v>
      </x:c>
      <x:c r="Q801" s="83" t="n">
        <x:f>MAX($G$800:$G$805)-G801</x:f>
        <x:v>23.71906961747942</x:v>
      </x:c>
      <x:c r="R801" s="73" t="str">
        <x:f>INDEX(TrackMap!$B$8:$B$141,H801)</x:f>
        <x:v>西侧上坡弯</x:v>
      </x:c>
    </x:row>
    <x:row r="802" ht="20" customHeight="1">
      <x:c r="A802" s="73" t="n">
        <x:v>132</x:v>
      </x:c>
      <x:c r="B802" s="73" t="n">
        <x:v>3</x:v>
      </x:c>
      <x:c r="C802" s="73" t="str">
        <x:f>INDEX(Drivers!$B$8:$B$13,B802)</x:f>
        <x:v>金翼</x:v>
      </x:c>
      <x:c r="D802" s="83" t="n">
        <x:f>G796</x:f>
        <x:v>442.79126346537504</x:v>
      </x:c>
      <x:c r="E802" s="83" t="str">
        <x:f>IF(A802=0,"GRID",IF(D802&gt;=Control!$B$17,"FINISHED",IF(AND(A802&gt;=INDEX(Drivers!$G$8:$G$13,B802),A802&lt;INDEX(Drivers!$G$8:$G$13,B802)+INDEX(Drivers!$J$8:$J$13,B802)),"PIT",IF(MOD(A802+INDEX(Drivers!$F$8:$F$13,B802),Control!$B$11)&lt;Control!$B$13,"BOOST","RACE"))))</x:f>
        <x:v>RACE</x:v>
      </x:c>
      <x:c r="F802" s="83" t="n">
        <x:f>IF(OR(E802="GRID",E802="FINISHED",E802="PIT"),0,MAX(Control!$B$15,(INDEX(Drivers!$D$8:$D$13,B802)+INDEX(Drivers!$E$8:$E$13,B802)*SIN((A802+INDEX(Drivers!$F$8:$F$13,B802)+Control!$B$16)*Control!$B$14))*INDEX(TrackMap!$M$8:$M$141,MOD(INT(D802)-1,Control!$B$7)+1)*IF(E802="BOOST",Control!$B$12,1)))</x:f>
        <x:v>3.0696337026226512</x:v>
      </x:c>
      <x:c r="G802" s="83" t="n">
        <x:f>IF(A802=0,D802,MIN(Control!$B$17,D802+F802))</x:f>
        <x:v>445.8608971679977</x:v>
      </x:c>
      <x:c r="H802" s="73" t="n">
        <x:f>MOD(INT(G802)-1,Control!$B$7)+1</x:f>
        <x:v>43</x:v>
      </x:c>
      <x:c r="I802" s="73" t="n">
        <x:f>MIN(Control!$B$6,MAX(1,INT(MAX(0,G802)/Control!$B$7)+1))</x:f>
        <x:v>4</x:v>
      </x:c>
      <x:c r="J802" s="73" t="n">
        <x:f>INDEX(Drivers!$H$8:$H$13,B802)</x:f>
        <x:v>1</x:v>
      </x:c>
      <x:c r="K802" s="73" t="n">
        <x:f>IF(J802=1,INDEX(TrackMap!$I$8:$I$141,H802),INDEX(TrackMap!$L$8:$L$141,H802))</x:f>
        <x:v>1020</x:v>
      </x:c>
      <x:c r="L802" s="73" t="str">
        <x:f>INDEX(TrackMap!$F$8:$F$141,H802)</x:f>
        <x:v>↓</x:v>
      </x:c>
      <x:c r="M802" s="87" t="n">
        <x:f>MAX(0,G802/Control!$B$17)</x:f>
        <x:v>0.6654640256238771</x:v>
      </x:c>
      <x:c r="N802" s="73" t="n">
        <x:f>IF(N796&gt;0,N796,IF(G802&gt;=Control!$B$17,A802,0))</x:f>
        <x:v>0</x:v>
      </x:c>
      <x:c r="O802" s="91" t="n">
        <x:f>IF(N802&gt;0,Control!$B$17+Control!$B$8+1-N802,G802)-B802/100000</x:f>
        <x:v>445.8608671679977</x:v>
      </x:c>
      <x:c r="P802" s="73" t="n">
        <x:f>COUNTIF($O$800:$O$805,"&gt;"&amp;O802)+1</x:f>
        <x:v>4</x:v>
      </x:c>
      <x:c r="Q802" s="83" t="n">
        <x:f>MAX($G$800:$G$805)-G802</x:f>
        <x:v>11.8230483111779</x:v>
      </x:c>
      <x:c r="R802" s="73" t="str">
        <x:f>INDEX(TrackMap!$B$8:$B$141,H802)</x:f>
        <x:v>西侧发卡弯</x:v>
      </x:c>
    </x:row>
    <x:row r="803" ht="20" customHeight="1">
      <x:c r="A803" s="73" t="n">
        <x:v>132</x:v>
      </x:c>
      <x:c r="B803" s="73" t="n">
        <x:v>4</x:v>
      </x:c>
      <x:c r="C803" s="73" t="str">
        <x:f>INDEX(Drivers!$B$8:$B$13,B803)</x:f>
        <x:v>紫影</x:v>
      </x:c>
      <x:c r="D803" s="83" t="n">
        <x:f>G797</x:f>
        <x:v>435.1791628744661</x:v>
      </x:c>
      <x:c r="E803" s="83" t="str">
        <x:f>IF(A803=0,"GRID",IF(D803&gt;=Control!$B$17,"FINISHED",IF(AND(A803&gt;=INDEX(Drivers!$G$8:$G$13,B803),A803&lt;INDEX(Drivers!$G$8:$G$13,B803)+INDEX(Drivers!$J$8:$J$13,B803)),"PIT",IF(MOD(A803+INDEX(Drivers!$F$8:$F$13,B803),Control!$B$11)&lt;Control!$B$13,"BOOST","RACE"))))</x:f>
        <x:v>BOOST</x:v>
      </x:c>
      <x:c r="F803" s="83" t="n">
        <x:f>IF(OR(E803="GRID",E803="FINISHED",E803="PIT"),0,MAX(Control!$B$15,(INDEX(Drivers!$D$8:$D$13,B803)+INDEX(Drivers!$E$8:$E$13,B803)*SIN((A803+INDEX(Drivers!$F$8:$F$13,B803)+Control!$B$16)*Control!$B$14))*INDEX(TrackMap!$M$8:$M$141,MOD(INT(D803)-1,Control!$B$7)+1)*IF(E803="BOOST",Control!$B$12,1)))</x:f>
        <x:v>4.1840041469492935</x:v>
      </x:c>
      <x:c r="G803" s="83" t="n">
        <x:f>IF(A803=0,D803,MIN(Control!$B$17,D803+F803))</x:f>
        <x:v>439.3631670214154</x:v>
      </x:c>
      <x:c r="H803" s="73" t="n">
        <x:f>MOD(INT(G803)-1,Control!$B$7)+1</x:f>
        <x:v>37</x:v>
      </x:c>
      <x:c r="I803" s="73" t="n">
        <x:f>MIN(Control!$B$6,MAX(1,INT(MAX(0,G803)/Control!$B$7)+1))</x:f>
        <x:v>4</x:v>
      </x:c>
      <x:c r="J803" s="73" t="n">
        <x:f>INDEX(Drivers!$H$8:$H$13,B803)</x:f>
        <x:v>2</x:v>
      </x:c>
      <x:c r="K803" s="73" t="n">
        <x:f>IF(J803=1,INDEX(TrackMap!$I$8:$I$141,H803),INDEX(TrackMap!$L$8:$L$141,H803))</x:f>
        <x:v>913</x:v>
      </x:c>
      <x:c r="L803" s="73" t="str">
        <x:f>INDEX(TrackMap!$F$8:$F$141,H803)</x:f>
        <x:v>→</x:v>
      </x:c>
      <x:c r="M803" s="87" t="n">
        <x:f>MAX(0,G803/Control!$B$17)</x:f>
        <x:v>0.6557659209274856</x:v>
      </x:c>
      <x:c r="N803" s="73" t="n">
        <x:f>IF(N797&gt;0,N797,IF(G803&gt;=Control!$B$17,A803,0))</x:f>
        <x:v>0</x:v>
      </x:c>
      <x:c r="O803" s="91" t="n">
        <x:f>IF(N803&gt;0,Control!$B$17+Control!$B$8+1-N803,G803)-B803/100000</x:f>
        <x:v>439.3631270214154</x:v>
      </x:c>
      <x:c r="P803" s="73" t="n">
        <x:f>COUNTIF($O$800:$O$805,"&gt;"&amp;O803)+1</x:f>
        <x:v>5</x:v>
      </x:c>
      <x:c r="Q803" s="83" t="n">
        <x:f>MAX($G$800:$G$805)-G803</x:f>
        <x:v>18.320778457760184</x:v>
      </x:c>
      <x:c r="R803" s="73" t="str">
        <x:f>INDEX(TrackMap!$B$8:$B$141,H803)</x:f>
        <x:v>西侧发卡弯</x:v>
      </x:c>
    </x:row>
    <x:row r="804" ht="20" customHeight="1">
      <x:c r="A804" s="73" t="n">
        <x:v>132</x:v>
      </x:c>
      <x:c r="B804" s="73" t="n">
        <x:v>5</x:v>
      </x:c>
      <x:c r="C804" s="73" t="str">
        <x:f>INDEX(Drivers!$B$8:$B$13,B804)</x:f>
        <x:v>青锋</x:v>
      </x:c>
      <x:c r="D804" s="83" t="n">
        <x:f>G798</x:f>
        <x:v>452.63945639246066</x:v>
      </x:c>
      <x:c r="E804" s="83" t="str">
        <x:f>IF(A804=0,"GRID",IF(D804&gt;=Control!$B$17,"FINISHED",IF(AND(A804&gt;=INDEX(Drivers!$G$8:$G$13,B804),A804&lt;INDEX(Drivers!$G$8:$G$13,B804)+INDEX(Drivers!$J$8:$J$13,B804)),"PIT",IF(MOD(A804+INDEX(Drivers!$F$8:$F$13,B804),Control!$B$11)&lt;Control!$B$13,"BOOST","RACE"))))</x:f>
        <x:v>RACE</x:v>
      </x:c>
      <x:c r="F804" s="83" t="n">
        <x:f>IF(OR(E804="GRID",E804="FINISHED",E804="PIT"),0,MAX(Control!$B$15,(INDEX(Drivers!$D$8:$D$13,B804)+INDEX(Drivers!$E$8:$E$13,B804)*SIN((A804+INDEX(Drivers!$F$8:$F$13,B804)+Control!$B$16)*Control!$B$14))*INDEX(TrackMap!$M$8:$M$141,MOD(INT(D804)-1,Control!$B$7)+1)*IF(E804="BOOST",Control!$B$12,1)))</x:f>
        <x:v>3.179285021384405</x:v>
      </x:c>
      <x:c r="G804" s="83" t="n">
        <x:f>IF(A804=0,D804,MIN(Control!$B$17,D804+F804))</x:f>
        <x:v>455.8187414138451</x:v>
      </x:c>
      <x:c r="H804" s="73" t="n">
        <x:f>MOD(INT(G804)-1,Control!$B$7)+1</x:f>
        <x:v>53</x:v>
      </x:c>
      <x:c r="I804" s="73" t="n">
        <x:f>MIN(Control!$B$6,MAX(1,INT(MAX(0,G804)/Control!$B$7)+1))</x:f>
        <x:v>4</x:v>
      </x:c>
      <x:c r="J804" s="73" t="n">
        <x:f>INDEX(Drivers!$H$8:$H$13,B804)</x:f>
        <x:v>1</x:v>
      </x:c>
      <x:c r="K804" s="73" t="n">
        <x:f>IF(J804=1,INDEX(TrackMap!$I$8:$I$141,H804),INDEX(TrackMap!$L$8:$L$141,H804))</x:f>
        <x:v>1626</x:v>
      </x:c>
      <x:c r="L804" s="73" t="str">
        <x:f>INDEX(TrackMap!$F$8:$F$141,H804)</x:f>
        <x:v>→</x:v>
      </x:c>
      <x:c r="M804" s="87" t="n">
        <x:f>MAX(0,G804/Control!$B$17)</x:f>
        <x:v>0.6803264797221569</x:v>
      </x:c>
      <x:c r="N804" s="73" t="n">
        <x:f>IF(N798&gt;0,N798,IF(G804&gt;=Control!$B$17,A804,0))</x:f>
        <x:v>0</x:v>
      </x:c>
      <x:c r="O804" s="91" t="n">
        <x:f>IF(N804&gt;0,Control!$B$17+Control!$B$8+1-N804,G804)-B804/100000</x:f>
        <x:v>455.8186914138451</x:v>
      </x:c>
      <x:c r="P804" s="73" t="n">
        <x:f>COUNTIF($O$800:$O$805,"&gt;"&amp;O804)+1</x:f>
        <x:v>2</x:v>
      </x:c>
      <x:c r="Q804" s="83" t="n">
        <x:f>MAX($G$800:$G$805)-G804</x:f>
        <x:v>1.865204065330488</x:v>
      </x:c>
      <x:c r="R804" s="73" t="str">
        <x:f>INDEX(TrackMap!$B$8:$B$141,H804)</x:f>
        <x:v>中央高速直道</x:v>
      </x:c>
    </x:row>
    <x:row r="805" ht="20" customHeight="1">
      <x:c r="A805" s="73" t="n">
        <x:v>132</x:v>
      </x:c>
      <x:c r="B805" s="73" t="n">
        <x:v>6</x:v>
      </x:c>
      <x:c r="C805" s="73" t="str">
        <x:f>INDEX(Drivers!$B$8:$B$13,B805)</x:f>
        <x:v>玫速</x:v>
      </x:c>
      <x:c r="D805" s="83" t="n">
        <x:f>G799</x:f>
        <x:v>453.4042059001396</x:v>
      </x:c>
      <x:c r="E805" s="83" t="str">
        <x:f>IF(A805=0,"GRID",IF(D805&gt;=Control!$B$17,"FINISHED",IF(AND(A805&gt;=INDEX(Drivers!$G$8:$G$13,B805),A805&lt;INDEX(Drivers!$G$8:$G$13,B805)+INDEX(Drivers!$J$8:$J$13,B805)),"PIT",IF(MOD(A805+INDEX(Drivers!$F$8:$F$13,B805),Control!$B$11)&lt;Control!$B$13,"BOOST","RACE"))))</x:f>
        <x:v>RACE</x:v>
      </x:c>
      <x:c r="F805" s="83" t="n">
        <x:f>IF(OR(E805="GRID",E805="FINISHED",E805="PIT"),0,MAX(Control!$B$15,(INDEX(Drivers!$D$8:$D$13,B805)+INDEX(Drivers!$E$8:$E$13,B805)*SIN((A805+INDEX(Drivers!$F$8:$F$13,B805)+Control!$B$16)*Control!$B$14))*INDEX(TrackMap!$M$8:$M$141,MOD(INT(D805)-1,Control!$B$7)+1)*IF(E805="BOOST",Control!$B$12,1)))</x:f>
        <x:v>4.279739579036008</x:v>
      </x:c>
      <x:c r="G805" s="83" t="n">
        <x:f>IF(A805=0,D805,MIN(Control!$B$17,D805+F805))</x:f>
        <x:v>457.6839454791756</x:v>
      </x:c>
      <x:c r="H805" s="73" t="n">
        <x:f>MOD(INT(G805)-1,Control!$B$7)+1</x:f>
        <x:v>55</x:v>
      </x:c>
      <x:c r="I805" s="73" t="n">
        <x:f>MIN(Control!$B$6,MAX(1,INT(MAX(0,G805)/Control!$B$7)+1))</x:f>
        <x:v>4</x:v>
      </x:c>
      <x:c r="J805" s="73" t="n">
        <x:f>INDEX(Drivers!$H$8:$H$13,B805)</x:f>
        <x:v>2</x:v>
      </x:c>
      <x:c r="K805" s="73" t="n">
        <x:f>IF(J805=1,INDEX(TrackMap!$I$8:$I$141,H805),INDEX(TrackMap!$L$8:$L$141,H805))</x:f>
        <x:v>1528</x:v>
      </x:c>
      <x:c r="L805" s="73" t="str">
        <x:f>INDEX(TrackMap!$F$8:$F$141,H805)</x:f>
        <x:v>→</x:v>
      </x:c>
      <x:c r="M805" s="87" t="n">
        <x:f>MAX(0,G805/Control!$B$17)</x:f>
        <x:v>0.6831103663868292</x:v>
      </x:c>
      <x:c r="N805" s="73" t="n">
        <x:f>IF(N799&gt;0,N799,IF(G805&gt;=Control!$B$17,A805,0))</x:f>
        <x:v>0</x:v>
      </x:c>
      <x:c r="O805" s="91" t="n">
        <x:f>IF(N805&gt;0,Control!$B$17+Control!$B$8+1-N805,G805)-B805/100000</x:f>
        <x:v>457.68388547917556</x:v>
      </x:c>
      <x:c r="P805" s="73" t="n">
        <x:f>COUNTIF($O$800:$O$805,"&gt;"&amp;O805)+1</x:f>
        <x:v>1</x:v>
      </x:c>
      <x:c r="Q805" s="83" t="n">
        <x:f>MAX($G$800:$G$805)-G805</x:f>
        <x:v>0</x:v>
      </x:c>
      <x:c r="R805" s="73" t="str">
        <x:f>INDEX(TrackMap!$B$8:$B$141,H805)</x:f>
        <x:v>中央高速直道</x:v>
      </x:c>
    </x:row>
    <x:row r="806" ht="20" customHeight="1">
      <x:c r="A806" s="73" t="n">
        <x:v>133</x:v>
      </x:c>
      <x:c r="B806" s="73" t="n">
        <x:v>1</x:v>
      </x:c>
      <x:c r="C806" s="73" t="str">
        <x:f>INDEX(Drivers!$B$8:$B$13,B806)</x:f>
        <x:v>赤焰</x:v>
      </x:c>
      <x:c r="D806" s="83" t="n">
        <x:f>G800</x:f>
        <x:v>452.5820658167009</x:v>
      </x:c>
      <x:c r="E806" s="83" t="str">
        <x:f>IF(A806=0,"GRID",IF(D806&gt;=Control!$B$17,"FINISHED",IF(AND(A806&gt;=INDEX(Drivers!$G$8:$G$13,B806),A806&lt;INDEX(Drivers!$G$8:$G$13,B806)+INDEX(Drivers!$J$8:$J$13,B806)),"PIT",IF(MOD(A806+INDEX(Drivers!$F$8:$F$13,B806),Control!$B$11)&lt;Control!$B$13,"BOOST","RACE"))))</x:f>
        <x:v>RACE</x:v>
      </x:c>
      <x:c r="F806" s="83" t="n">
        <x:f>IF(OR(E806="GRID",E806="FINISHED",E806="PIT"),0,MAX(Control!$B$15,(INDEX(Drivers!$D$8:$D$13,B806)+INDEX(Drivers!$E$8:$E$13,B806)*SIN((A806+INDEX(Drivers!$F$8:$F$13,B806)+Control!$B$16)*Control!$B$14))*INDEX(TrackMap!$M$8:$M$141,MOD(INT(D806)-1,Control!$B$7)+1)*IF(E806="BOOST",Control!$B$12,1)))</x:f>
        <x:v>3.192332325341187</x:v>
      </x:c>
      <x:c r="G806" s="83" t="n">
        <x:f>IF(A806=0,D806,MIN(Control!$B$17,D806+F806))</x:f>
        <x:v>455.77439814204206</x:v>
      </x:c>
      <x:c r="H806" s="73" t="n">
        <x:f>MOD(INT(G806)-1,Control!$B$7)+1</x:f>
        <x:v>53</x:v>
      </x:c>
      <x:c r="I806" s="73" t="n">
        <x:f>MIN(Control!$B$6,MAX(1,INT(MAX(0,G806)/Control!$B$7)+1))</x:f>
        <x:v>4</x:v>
      </x:c>
      <x:c r="J806" s="73" t="n">
        <x:f>INDEX(Drivers!$H$8:$H$13,B806)</x:f>
        <x:v>1</x:v>
      </x:c>
      <x:c r="K806" s="73" t="n">
        <x:f>IF(J806=1,INDEX(TrackMap!$I$8:$I$141,H806),INDEX(TrackMap!$L$8:$L$141,H806))</x:f>
        <x:v>1626</x:v>
      </x:c>
      <x:c r="L806" s="73" t="str">
        <x:f>INDEX(TrackMap!$F$8:$F$141,H806)</x:f>
        <x:v>→</x:v>
      </x:c>
      <x:c r="M806" s="87" t="n">
        <x:f>MAX(0,G806/Control!$B$17)</x:f>
        <x:v>0.6802602957343912</x:v>
      </x:c>
      <x:c r="N806" s="73" t="n">
        <x:f>IF(N800&gt;0,N800,IF(G806&gt;=Control!$B$17,A806,0))</x:f>
        <x:v>0</x:v>
      </x:c>
      <x:c r="O806" s="91" t="n">
        <x:f>IF(N806&gt;0,Control!$B$17+Control!$B$8+1-N806,G806)-B806/100000</x:f>
        <x:v>455.7743881420421</x:v>
      </x:c>
      <x:c r="P806" s="73" t="n">
        <x:f>COUNTIF($O$806:$O$811,"&gt;"&amp;O806)+1</x:f>
        <x:v>3</x:v>
      </x:c>
      <x:c r="Q806" s="83" t="n">
        <x:f>MAX($G$806:$G$811)-G806</x:f>
        <x:v>6.155092824070323</x:v>
      </x:c>
      <x:c r="R806" s="73" t="str">
        <x:f>INDEX(TrackMap!$B$8:$B$141,H806)</x:f>
        <x:v>中央高速直道</x:v>
      </x:c>
    </x:row>
    <x:row r="807" ht="20" customHeight="1">
      <x:c r="A807" s="73" t="n">
        <x:v>133</x:v>
      </x:c>
      <x:c r="B807" s="73" t="n">
        <x:v>2</x:v>
      </x:c>
      <x:c r="C807" s="73" t="str">
        <x:f>INDEX(Drivers!$B$8:$B$13,B807)</x:f>
        <x:v>蓝电</x:v>
      </x:c>
      <x:c r="D807" s="83" t="n">
        <x:f>G801</x:f>
        <x:v>433.96487586169616</x:v>
      </x:c>
      <x:c r="E807" s="83" t="str">
        <x:f>IF(A807=0,"GRID",IF(D807&gt;=Control!$B$17,"FINISHED",IF(AND(A807&gt;=INDEX(Drivers!$G$8:$G$13,B807),A807&lt;INDEX(Drivers!$G$8:$G$13,B807)+INDEX(Drivers!$J$8:$J$13,B807)),"PIT",IF(MOD(A807+INDEX(Drivers!$F$8:$F$13,B807),Control!$B$11)&lt;Control!$B$13,"BOOST","RACE"))))</x:f>
        <x:v>RACE</x:v>
      </x:c>
      <x:c r="F807" s="83" t="n">
        <x:f>IF(OR(E807="GRID",E807="FINISHED",E807="PIT"),0,MAX(Control!$B$15,(INDEX(Drivers!$D$8:$D$13,B807)+INDEX(Drivers!$E$8:$E$13,B807)*SIN((A807+INDEX(Drivers!$F$8:$F$13,B807)+Control!$B$16)*Control!$B$14))*INDEX(TrackMap!$M$8:$M$141,MOD(INT(D807)-1,Control!$B$7)+1)*IF(E807="BOOST",Control!$B$12,1)))</x:f>
        <x:v>3.8308488330781327</x:v>
      </x:c>
      <x:c r="G807" s="83" t="n">
        <x:f>IF(A807=0,D807,MIN(Control!$B$17,D807+F807))</x:f>
        <x:v>437.79572469477426</x:v>
      </x:c>
      <x:c r="H807" s="73" t="n">
        <x:f>MOD(INT(G807)-1,Control!$B$7)+1</x:f>
        <x:v>35</x:v>
      </x:c>
      <x:c r="I807" s="73" t="n">
        <x:f>MIN(Control!$B$6,MAX(1,INT(MAX(0,G807)/Control!$B$7)+1))</x:f>
        <x:v>4</x:v>
      </x:c>
      <x:c r="J807" s="73" t="n">
        <x:f>INDEX(Drivers!$H$8:$H$13,B807)</x:f>
        <x:v>2</x:v>
      </x:c>
      <x:c r="K807" s="73" t="n">
        <x:f>IF(J807=1,INDEX(TrackMap!$I$8:$I$141,H807),INDEX(TrackMap!$L$8:$L$141,H807))</x:f>
        <x:v>1011</x:v>
      </x:c>
      <x:c r="L807" s="73" t="str">
        <x:f>INDEX(TrackMap!$F$8:$F$141,H807)</x:f>
        <x:v>↑</x:v>
      </x:c>
      <x:c r="M807" s="87" t="n">
        <x:f>MAX(0,G807/Control!$B$17)</x:f>
        <x:v>0.6534264547683198</x:v>
      </x:c>
      <x:c r="N807" s="73" t="n">
        <x:f>IF(N801&gt;0,N801,IF(G807&gt;=Control!$B$17,A807,0))</x:f>
        <x:v>0</x:v>
      </x:c>
      <x:c r="O807" s="91" t="n">
        <x:f>IF(N807&gt;0,Control!$B$17+Control!$B$8+1-N807,G807)-B807/100000</x:f>
        <x:v>437.79570469477426</x:v>
      </x:c>
      <x:c r="P807" s="73" t="n">
        <x:f>COUNTIF($O$806:$O$811,"&gt;"&amp;O807)+1</x:f>
        <x:v>6</x:v>
      </x:c>
      <x:c r="Q807" s="83" t="n">
        <x:f>MAX($G$806:$G$811)-G807</x:f>
        <x:v>24.133766271338118</x:v>
      </x:c>
      <x:c r="R807" s="73" t="str">
        <x:f>INDEX(TrackMap!$B$8:$B$141,H807)</x:f>
        <x:v>西侧上坡弯</x:v>
      </x:c>
    </x:row>
    <x:row r="808" ht="20" customHeight="1">
      <x:c r="A808" s="73" t="n">
        <x:v>133</x:v>
      </x:c>
      <x:c r="B808" s="73" t="n">
        <x:v>3</x:v>
      </x:c>
      <x:c r="C808" s="73" t="str">
        <x:f>INDEX(Drivers!$B$8:$B$13,B808)</x:f>
        <x:v>金翼</x:v>
      </x:c>
      <x:c r="D808" s="83" t="n">
        <x:f>G802</x:f>
        <x:v>445.8608971679977</x:v>
      </x:c>
      <x:c r="E808" s="83" t="str">
        <x:f>IF(A808=0,"GRID",IF(D808&gt;=Control!$B$17,"FINISHED",IF(AND(A808&gt;=INDEX(Drivers!$G$8:$G$13,B808),A808&lt;INDEX(Drivers!$G$8:$G$13,B808)+INDEX(Drivers!$J$8:$J$13,B808)),"PIT",IF(MOD(A808+INDEX(Drivers!$F$8:$F$13,B808),Control!$B$11)&lt;Control!$B$13,"BOOST","RACE"))))</x:f>
        <x:v>RACE</x:v>
      </x:c>
      <x:c r="F808" s="83" t="n">
        <x:f>IF(OR(E808="GRID",E808="FINISHED",E808="PIT"),0,MAX(Control!$B$15,(INDEX(Drivers!$D$8:$D$13,B808)+INDEX(Drivers!$E$8:$E$13,B808)*SIN((A808+INDEX(Drivers!$F$8:$F$13,B808)+Control!$B$16)*Control!$B$14))*INDEX(TrackMap!$M$8:$M$141,MOD(INT(D808)-1,Control!$B$7)+1)*IF(E808="BOOST",Control!$B$12,1)))</x:f>
        <x:v>2.9327885919815415</x:v>
      </x:c>
      <x:c r="G808" s="83" t="n">
        <x:f>IF(A808=0,D808,MIN(Control!$B$17,D808+F808))</x:f>
        <x:v>448.7936857599792</x:v>
      </x:c>
      <x:c r="H808" s="73" t="n">
        <x:f>MOD(INT(G808)-1,Control!$B$7)+1</x:f>
        <x:v>46</x:v>
      </x:c>
      <x:c r="I808" s="73" t="n">
        <x:f>MIN(Control!$B$6,MAX(1,INT(MAX(0,G808)/Control!$B$7)+1))</x:f>
        <x:v>4</x:v>
      </x:c>
      <x:c r="J808" s="73" t="n">
        <x:f>INDEX(Drivers!$H$8:$H$13,B808)</x:f>
        <x:v>1</x:v>
      </x:c>
      <x:c r="K808" s="73" t="n">
        <x:f>IF(J808=1,INDEX(TrackMap!$I$8:$I$141,H808),INDEX(TrackMap!$L$8:$L$141,H808))</x:f>
        <x:v>1319</x:v>
      </x:c>
      <x:c r="L808" s="73" t="str">
        <x:f>INDEX(TrackMap!$F$8:$F$141,H808)</x:f>
        <x:v>↓</x:v>
      </x:c>
      <x:c r="M808" s="87" t="n">
        <x:f>MAX(0,G808/Control!$B$17)</x:f>
        <x:v>0.6698413220298197</x:v>
      </x:c>
      <x:c r="N808" s="73" t="n">
        <x:f>IF(N802&gt;0,N802,IF(G808&gt;=Control!$B$17,A808,0))</x:f>
        <x:v>0</x:v>
      </x:c>
      <x:c r="O808" s="91" t="n">
        <x:f>IF(N808&gt;0,Control!$B$17+Control!$B$8+1-N808,G808)-B808/100000</x:f>
        <x:v>448.79365575997923</x:v>
      </x:c>
      <x:c r="P808" s="73" t="n">
        <x:f>COUNTIF($O$806:$O$811,"&gt;"&amp;O808)+1</x:f>
        <x:v>4</x:v>
      </x:c>
      <x:c r="Q808" s="83" t="n">
        <x:f>MAX($G$806:$G$811)-G808</x:f>
        <x:v>13.13580520613317</x:v>
      </x:c>
      <x:c r="R808" s="73" t="str">
        <x:f>INDEX(TrackMap!$B$8:$B$141,H808)</x:f>
        <x:v>中段下行弯</x:v>
      </x:c>
    </x:row>
    <x:row r="809" ht="20" customHeight="1">
      <x:c r="A809" s="73" t="n">
        <x:v>133</x:v>
      </x:c>
      <x:c r="B809" s="73" t="n">
        <x:v>4</x:v>
      </x:c>
      <x:c r="C809" s="73" t="str">
        <x:f>INDEX(Drivers!$B$8:$B$13,B809)</x:f>
        <x:v>紫影</x:v>
      </x:c>
      <x:c r="D809" s="83" t="n">
        <x:f>G803</x:f>
        <x:v>439.3631670214154</x:v>
      </x:c>
      <x:c r="E809" s="83" t="str">
        <x:f>IF(A809=0,"GRID",IF(D809&gt;=Control!$B$17,"FINISHED",IF(AND(A809&gt;=INDEX(Drivers!$G$8:$G$13,B809),A809&lt;INDEX(Drivers!$G$8:$G$13,B809)+INDEX(Drivers!$J$8:$J$13,B809)),"PIT",IF(MOD(A809+INDEX(Drivers!$F$8:$F$13,B809),Control!$B$11)&lt;Control!$B$13,"BOOST","RACE"))))</x:f>
        <x:v>BOOST</x:v>
      </x:c>
      <x:c r="F809" s="83" t="n">
        <x:f>IF(OR(E809="GRID",E809="FINISHED",E809="PIT"),0,MAX(Control!$B$15,(INDEX(Drivers!$D$8:$D$13,B809)+INDEX(Drivers!$E$8:$E$13,B809)*SIN((A809+INDEX(Drivers!$F$8:$F$13,B809)+Control!$B$16)*Control!$B$14))*INDEX(TrackMap!$M$8:$M$141,MOD(INT(D809)-1,Control!$B$7)+1)*IF(E809="BOOST",Control!$B$12,1)))</x:f>
        <x:v>3.410652583647184</x:v>
      </x:c>
      <x:c r="G809" s="83" t="n">
        <x:f>IF(A809=0,D809,MIN(Control!$B$17,D809+F809))</x:f>
        <x:v>442.77381960506256</x:v>
      </x:c>
      <x:c r="H809" s="73" t="n">
        <x:f>MOD(INT(G809)-1,Control!$B$7)+1</x:f>
        <x:v>40</x:v>
      </x:c>
      <x:c r="I809" s="73" t="n">
        <x:f>MIN(Control!$B$6,MAX(1,INT(MAX(0,G809)/Control!$B$7)+1))</x:f>
        <x:v>4</x:v>
      </x:c>
      <x:c r="J809" s="73" t="n">
        <x:f>INDEX(Drivers!$H$8:$H$13,B809)</x:f>
        <x:v>2</x:v>
      </x:c>
      <x:c r="K809" s="73" t="n">
        <x:f>IF(J809=1,INDEX(TrackMap!$I$8:$I$141,H809),INDEX(TrackMap!$L$8:$L$141,H809))</x:f>
        <x:v>916</x:v>
      </x:c>
      <x:c r="L809" s="73" t="str">
        <x:f>INDEX(TrackMap!$F$8:$F$141,H809)</x:f>
        <x:v>→</x:v>
      </x:c>
      <x:c r="M809" s="87" t="n">
        <x:f>MAX(0,G809/Control!$B$17)</x:f>
        <x:v>0.6608564471717352</x:v>
      </x:c>
      <x:c r="N809" s="73" t="n">
        <x:f>IF(N803&gt;0,N803,IF(G809&gt;=Control!$B$17,A809,0))</x:f>
        <x:v>0</x:v>
      </x:c>
      <x:c r="O809" s="91" t="n">
        <x:f>IF(N809&gt;0,Control!$B$17+Control!$B$8+1-N809,G809)-B809/100000</x:f>
        <x:v>442.77377960506254</x:v>
      </x:c>
      <x:c r="P809" s="73" t="n">
        <x:f>COUNTIF($O$806:$O$811,"&gt;"&amp;O809)+1</x:f>
        <x:v>5</x:v>
      </x:c>
      <x:c r="Q809" s="83" t="n">
        <x:f>MAX($G$806:$G$811)-G809</x:f>
        <x:v>19.155671361049826</x:v>
      </x:c>
      <x:c r="R809" s="73" t="str">
        <x:f>INDEX(TrackMap!$B$8:$B$141,H809)</x:f>
        <x:v>西侧发卡弯</x:v>
      </x:c>
    </x:row>
    <x:row r="810" ht="20" customHeight="1">
      <x:c r="A810" s="73" t="n">
        <x:v>133</x:v>
      </x:c>
      <x:c r="B810" s="73" t="n">
        <x:v>5</x:v>
      </x:c>
      <x:c r="C810" s="73" t="str">
        <x:f>INDEX(Drivers!$B$8:$B$13,B810)</x:f>
        <x:v>青锋</x:v>
      </x:c>
      <x:c r="D810" s="83" t="n">
        <x:f>G804</x:f>
        <x:v>455.8187414138451</x:v>
      </x:c>
      <x:c r="E810" s="83" t="str">
        <x:f>IF(A810=0,"GRID",IF(D810&gt;=Control!$B$17,"FINISHED",IF(AND(A810&gt;=INDEX(Drivers!$G$8:$G$13,B810),A810&lt;INDEX(Drivers!$G$8:$G$13,B810)+INDEX(Drivers!$J$8:$J$13,B810)),"PIT",IF(MOD(A810+INDEX(Drivers!$F$8:$F$13,B810),Control!$B$11)&lt;Control!$B$13,"BOOST","RACE"))))</x:f>
        <x:v>RACE</x:v>
      </x:c>
      <x:c r="F810" s="83" t="n">
        <x:f>IF(OR(E810="GRID",E810="FINISHED",E810="PIT"),0,MAX(Control!$B$15,(INDEX(Drivers!$D$8:$D$13,B810)+INDEX(Drivers!$E$8:$E$13,B810)*SIN((A810+INDEX(Drivers!$F$8:$F$13,B810)+Control!$B$16)*Control!$B$14))*INDEX(TrackMap!$M$8:$M$141,MOD(INT(D810)-1,Control!$B$7)+1)*IF(E810="BOOST",Control!$B$12,1)))</x:f>
        <x:v>3.3035665906571037</x:v>
      </x:c>
      <x:c r="G810" s="83" t="n">
        <x:f>IF(A810=0,D810,MIN(Control!$B$17,D810+F810))</x:f>
        <x:v>459.1223080045022</x:v>
      </x:c>
      <x:c r="H810" s="73" t="n">
        <x:f>MOD(INT(G810)-1,Control!$B$7)+1</x:f>
        <x:v>57</x:v>
      </x:c>
      <x:c r="I810" s="73" t="n">
        <x:f>MIN(Control!$B$6,MAX(1,INT(MAX(0,G810)/Control!$B$7)+1))</x:f>
        <x:v>4</x:v>
      </x:c>
      <x:c r="J810" s="73" t="n">
        <x:f>INDEX(Drivers!$H$8:$H$13,B810)</x:f>
        <x:v>1</x:v>
      </x:c>
      <x:c r="K810" s="73" t="n">
        <x:f>IF(J810=1,INDEX(TrackMap!$I$8:$I$141,H810),INDEX(TrackMap!$L$8:$L$141,H810))</x:f>
        <x:v>1630</x:v>
      </x:c>
      <x:c r="L810" s="73" t="str">
        <x:f>INDEX(TrackMap!$F$8:$F$141,H810)</x:f>
        <x:v>→</x:v>
      </x:c>
      <x:c r="M810" s="87" t="n">
        <x:f>MAX(0,G810/Control!$B$17)</x:f>
        <x:v>0.6852571761261227</x:v>
      </x:c>
      <x:c r="N810" s="73" t="n">
        <x:f>IF(N804&gt;0,N804,IF(G810&gt;=Control!$B$17,A810,0))</x:f>
        <x:v>0</x:v>
      </x:c>
      <x:c r="O810" s="91" t="n">
        <x:f>IF(N810&gt;0,Control!$B$17+Control!$B$8+1-N810,G810)-B810/100000</x:f>
        <x:v>459.1222580045022</x:v>
      </x:c>
      <x:c r="P810" s="73" t="n">
        <x:f>COUNTIF($O$806:$O$811,"&gt;"&amp;O810)+1</x:f>
        <x:v>2</x:v>
      </x:c>
      <x:c r="Q810" s="83" t="n">
        <x:f>MAX($G$806:$G$811)-G810</x:f>
        <x:v>2.807182961610181</x:v>
      </x:c>
      <x:c r="R810" s="73" t="str">
        <x:f>INDEX(TrackMap!$B$8:$B$141,H810)</x:f>
        <x:v>中央高速直道</x:v>
      </x:c>
    </x:row>
    <x:row r="811" ht="20" customHeight="1">
      <x:c r="A811" s="73" t="n">
        <x:v>133</x:v>
      </x:c>
      <x:c r="B811" s="73" t="n">
        <x:v>6</x:v>
      </x:c>
      <x:c r="C811" s="73" t="str">
        <x:f>INDEX(Drivers!$B$8:$B$13,B811)</x:f>
        <x:v>玫速</x:v>
      </x:c>
      <x:c r="D811" s="83" t="n">
        <x:f>G805</x:f>
        <x:v>457.6839454791756</x:v>
      </x:c>
      <x:c r="E811" s="83" t="str">
        <x:f>IF(A811=0,"GRID",IF(D811&gt;=Control!$B$17,"FINISHED",IF(AND(A811&gt;=INDEX(Drivers!$G$8:$G$13,B811),A811&lt;INDEX(Drivers!$G$8:$G$13,B811)+INDEX(Drivers!$J$8:$J$13,B811)),"PIT",IF(MOD(A811+INDEX(Drivers!$F$8:$F$13,B811),Control!$B$11)&lt;Control!$B$13,"BOOST","RACE"))))</x:f>
        <x:v>RACE</x:v>
      </x:c>
      <x:c r="F811" s="83" t="n">
        <x:f>IF(OR(E811="GRID",E811="FINISHED",E811="PIT"),0,MAX(Control!$B$15,(INDEX(Drivers!$D$8:$D$13,B811)+INDEX(Drivers!$E$8:$E$13,B811)*SIN((A811+INDEX(Drivers!$F$8:$F$13,B811)+Control!$B$16)*Control!$B$14))*INDEX(TrackMap!$M$8:$M$141,MOD(INT(D811)-1,Control!$B$7)+1)*IF(E811="BOOST",Control!$B$12,1)))</x:f>
        <x:v>4.2455454869367975</x:v>
      </x:c>
      <x:c r="G811" s="83" t="n">
        <x:f>IF(A811=0,D811,MIN(Control!$B$17,D811+F811))</x:f>
        <x:v>461.9294909661124</x:v>
      </x:c>
      <x:c r="H811" s="73" t="n">
        <x:f>MOD(INT(G811)-1,Control!$B$7)+1</x:f>
        <x:v>59</x:v>
      </x:c>
      <x:c r="I811" s="73" t="n">
        <x:f>MIN(Control!$B$6,MAX(1,INT(MAX(0,G811)/Control!$B$7)+1))</x:f>
        <x:v>4</x:v>
      </x:c>
      <x:c r="J811" s="73" t="n">
        <x:f>INDEX(Drivers!$H$8:$H$13,B811)</x:f>
        <x:v>2</x:v>
      </x:c>
      <x:c r="K811" s="73" t="n">
        <x:f>IF(J811=1,INDEX(TrackMap!$I$8:$I$141,H811),INDEX(TrackMap!$L$8:$L$141,H811))</x:f>
        <x:v>1532</x:v>
      </x:c>
      <x:c r="L811" s="73" t="str">
        <x:f>INDEX(TrackMap!$F$8:$F$141,H811)</x:f>
        <x:v>→</x:v>
      </x:c>
      <x:c r="M811" s="87" t="n">
        <x:f>MAX(0,G811/Control!$B$17)</x:f>
        <x:v>0.6894470014419588</x:v>
      </x:c>
      <x:c r="N811" s="73" t="n">
        <x:f>IF(N805&gt;0,N805,IF(G811&gt;=Control!$B$17,A811,0))</x:f>
        <x:v>0</x:v>
      </x:c>
      <x:c r="O811" s="91" t="n">
        <x:f>IF(N811&gt;0,Control!$B$17+Control!$B$8+1-N811,G811)-B811/100000</x:f>
        <x:v>461.92943096611236</x:v>
      </x:c>
      <x:c r="P811" s="73" t="n">
        <x:f>COUNTIF($O$806:$O$811,"&gt;"&amp;O811)+1</x:f>
        <x:v>1</x:v>
      </x:c>
      <x:c r="Q811" s="83" t="n">
        <x:f>MAX($G$806:$G$811)-G811</x:f>
        <x:v>0</x:v>
      </x:c>
      <x:c r="R811" s="73" t="str">
        <x:f>INDEX(TrackMap!$B$8:$B$141,H811)</x:f>
        <x:v>中央高速直道</x:v>
      </x:c>
    </x:row>
    <x:row r="812" ht="20" customHeight="1">
      <x:c r="A812" s="73" t="n">
        <x:v>134</x:v>
      </x:c>
      <x:c r="B812" s="73" t="n">
        <x:v>1</x:v>
      </x:c>
      <x:c r="C812" s="73" t="str">
        <x:f>INDEX(Drivers!$B$8:$B$13,B812)</x:f>
        <x:v>赤焰</x:v>
      </x:c>
      <x:c r="D812" s="83" t="n">
        <x:f>G806</x:f>
        <x:v>455.77439814204206</x:v>
      </x:c>
      <x:c r="E812" s="83" t="str">
        <x:f>IF(A812=0,"GRID",IF(D812&gt;=Control!$B$17,"FINISHED",IF(AND(A812&gt;=INDEX(Drivers!$G$8:$G$13,B812),A812&lt;INDEX(Drivers!$G$8:$G$13,B812)+INDEX(Drivers!$J$8:$J$13,B812)),"PIT",IF(MOD(A812+INDEX(Drivers!$F$8:$F$13,B812),Control!$B$11)&lt;Control!$B$13,"BOOST","RACE"))))</x:f>
        <x:v>RACE</x:v>
      </x:c>
      <x:c r="F812" s="83" t="n">
        <x:f>IF(OR(E812="GRID",E812="FINISHED",E812="PIT"),0,MAX(Control!$B$15,(INDEX(Drivers!$D$8:$D$13,B812)+INDEX(Drivers!$E$8:$E$13,B812)*SIN((A812+INDEX(Drivers!$F$8:$F$13,B812)+Control!$B$16)*Control!$B$14))*INDEX(TrackMap!$M$8:$M$141,MOD(INT(D812)-1,Control!$B$7)+1)*IF(E812="BOOST",Control!$B$12,1)))</x:f>
        <x:v>3.11300213556632</x:v>
      </x:c>
      <x:c r="G812" s="83" t="n">
        <x:f>IF(A812=0,D812,MIN(Control!$B$17,D812+F812))</x:f>
        <x:v>458.8874002776084</x:v>
      </x:c>
      <x:c r="H812" s="73" t="n">
        <x:f>MOD(INT(G812)-1,Control!$B$7)+1</x:f>
        <x:v>56</x:v>
      </x:c>
      <x:c r="I812" s="73" t="n">
        <x:f>MIN(Control!$B$6,MAX(1,INT(MAX(0,G812)/Control!$B$7)+1))</x:f>
        <x:v>4</x:v>
      </x:c>
      <x:c r="J812" s="73" t="n">
        <x:f>INDEX(Drivers!$H$8:$H$13,B812)</x:f>
        <x:v>1</x:v>
      </x:c>
      <x:c r="K812" s="73" t="n">
        <x:f>IF(J812=1,INDEX(TrackMap!$I$8:$I$141,H812),INDEX(TrackMap!$L$8:$L$141,H812))</x:f>
        <x:v>1629</x:v>
      </x:c>
      <x:c r="L812" s="73" t="str">
        <x:f>INDEX(TrackMap!$F$8:$F$141,H812)</x:f>
        <x:v>→</x:v>
      </x:c>
      <x:c r="M812" s="87" t="n">
        <x:f>MAX(0,G812/Control!$B$17)</x:f>
        <x:v>0.68490656757852</x:v>
      </x:c>
      <x:c r="N812" s="73" t="n">
        <x:f>IF(N806&gt;0,N806,IF(G812&gt;=Control!$B$17,A812,0))</x:f>
        <x:v>0</x:v>
      </x:c>
      <x:c r="O812" s="91" t="n">
        <x:f>IF(N812&gt;0,Control!$B$17+Control!$B$8+1-N812,G812)-B812/100000</x:f>
        <x:v>458.8873902776084</x:v>
      </x:c>
      <x:c r="P812" s="73" t="n">
        <x:f>COUNTIF($O$812:$O$817,"&gt;"&amp;O812)+1</x:f>
        <x:v>3</x:v>
      </x:c>
      <x:c r="Q812" s="83" t="n">
        <x:f>MAX($G$812:$G$817)-G812</x:f>
        <x:v>7.176898154778485</x:v>
      </x:c>
      <x:c r="R812" s="73" t="str">
        <x:f>INDEX(TrackMap!$B$8:$B$141,H812)</x:f>
        <x:v>中央高速直道</x:v>
      </x:c>
    </x:row>
    <x:row r="813" ht="20" customHeight="1">
      <x:c r="A813" s="73" t="n">
        <x:v>134</x:v>
      </x:c>
      <x:c r="B813" s="73" t="n">
        <x:v>2</x:v>
      </x:c>
      <x:c r="C813" s="73" t="str">
        <x:f>INDEX(Drivers!$B$8:$B$13,B813)</x:f>
        <x:v>蓝电</x:v>
      </x:c>
      <x:c r="D813" s="83" t="n">
        <x:f>G807</x:f>
        <x:v>437.79572469477426</x:v>
      </x:c>
      <x:c r="E813" s="83" t="str">
        <x:f>IF(A813=0,"GRID",IF(D813&gt;=Control!$B$17,"FINISHED",IF(AND(A813&gt;=INDEX(Drivers!$G$8:$G$13,B813),A813&lt;INDEX(Drivers!$G$8:$G$13,B813)+INDEX(Drivers!$J$8:$J$13,B813)),"PIT",IF(MOD(A813+INDEX(Drivers!$F$8:$F$13,B813),Control!$B$11)&lt;Control!$B$13,"BOOST","RACE"))))</x:f>
        <x:v>RACE</x:v>
      </x:c>
      <x:c r="F813" s="83" t="n">
        <x:f>IF(OR(E813="GRID",E813="FINISHED",E813="PIT"),0,MAX(Control!$B$15,(INDEX(Drivers!$D$8:$D$13,B813)+INDEX(Drivers!$E$8:$E$13,B813)*SIN((A813+INDEX(Drivers!$F$8:$F$13,B813)+Control!$B$16)*Control!$B$14))*INDEX(TrackMap!$M$8:$M$141,MOD(INT(D813)-1,Control!$B$7)+1)*IF(E813="BOOST",Control!$B$12,1)))</x:f>
        <x:v>3.1285567394742313</x:v>
      </x:c>
      <x:c r="G813" s="83" t="n">
        <x:f>IF(A813=0,D813,MIN(Control!$B$17,D813+F813))</x:f>
        <x:v>440.9242814342485</x:v>
      </x:c>
      <x:c r="H813" s="73" t="n">
        <x:f>MOD(INT(G813)-1,Control!$B$7)+1</x:f>
        <x:v>38</x:v>
      </x:c>
      <x:c r="I813" s="73" t="n">
        <x:f>MIN(Control!$B$6,MAX(1,INT(MAX(0,G813)/Control!$B$7)+1))</x:f>
        <x:v>4</x:v>
      </x:c>
      <x:c r="J813" s="73" t="n">
        <x:f>INDEX(Drivers!$H$8:$H$13,B813)</x:f>
        <x:v>2</x:v>
      </x:c>
      <x:c r="K813" s="73" t="n">
        <x:f>IF(J813=1,INDEX(TrackMap!$I$8:$I$141,H813),INDEX(TrackMap!$L$8:$L$141,H813))</x:f>
        <x:v>914</x:v>
      </x:c>
      <x:c r="L813" s="73" t="str">
        <x:f>INDEX(TrackMap!$F$8:$F$141,H813)</x:f>
        <x:v>→</x:v>
      </x:c>
      <x:c r="M813" s="87" t="n">
        <x:f>MAX(0,G813/Control!$B$17)</x:f>
        <x:v>0.6580959424391768</x:v>
      </x:c>
      <x:c r="N813" s="73" t="n">
        <x:f>IF(N807&gt;0,N807,IF(G813&gt;=Control!$B$17,A813,0))</x:f>
        <x:v>0</x:v>
      </x:c>
      <x:c r="O813" s="91" t="n">
        <x:f>IF(N813&gt;0,Control!$B$17+Control!$B$8+1-N813,G813)-B813/100000</x:f>
        <x:v>440.9242614342485</x:v>
      </x:c>
      <x:c r="P813" s="73" t="n">
        <x:f>COUNTIF($O$812:$O$817,"&gt;"&amp;O813)+1</x:f>
        <x:v>6</x:v>
      </x:c>
      <x:c r="Q813" s="83" t="n">
        <x:f>MAX($G$812:$G$817)-G813</x:f>
        <x:v>25.14001699813838</x:v>
      </x:c>
      <x:c r="R813" s="73" t="str">
        <x:f>INDEX(TrackMap!$B$8:$B$141,H813)</x:f>
        <x:v>西侧发卡弯</x:v>
      </x:c>
    </x:row>
    <x:row r="814" ht="20" customHeight="1">
      <x:c r="A814" s="73" t="n">
        <x:v>134</x:v>
      </x:c>
      <x:c r="B814" s="73" t="n">
        <x:v>3</x:v>
      </x:c>
      <x:c r="C814" s="73" t="str">
        <x:f>INDEX(Drivers!$B$8:$B$13,B814)</x:f>
        <x:v>金翼</x:v>
      </x:c>
      <x:c r="D814" s="83" t="n">
        <x:f>G808</x:f>
        <x:v>448.7936857599792</x:v>
      </x:c>
      <x:c r="E814" s="83" t="str">
        <x:f>IF(A814=0,"GRID",IF(D814&gt;=Control!$B$17,"FINISHED",IF(AND(A814&gt;=INDEX(Drivers!$G$8:$G$13,B814),A814&lt;INDEX(Drivers!$G$8:$G$13,B814)+INDEX(Drivers!$J$8:$J$13,B814)),"PIT",IF(MOD(A814+INDEX(Drivers!$F$8:$F$13,B814),Control!$B$11)&lt;Control!$B$13,"BOOST","RACE"))))</x:f>
        <x:v>RACE</x:v>
      </x:c>
      <x:c r="F814" s="83" t="n">
        <x:f>IF(OR(E814="GRID",E814="FINISHED",E814="PIT"),0,MAX(Control!$B$15,(INDEX(Drivers!$D$8:$D$13,B814)+INDEX(Drivers!$E$8:$E$13,B814)*SIN((A814+INDEX(Drivers!$F$8:$F$13,B814)+Control!$B$16)*Control!$B$14))*INDEX(TrackMap!$M$8:$M$141,MOD(INT(D814)-1,Control!$B$7)+1)*IF(E814="BOOST",Control!$B$12,1)))</x:f>
        <x:v>3.576424185783253</x:v>
      </x:c>
      <x:c r="G814" s="83" t="n">
        <x:f>IF(A814=0,D814,MIN(Control!$B$17,D814+F814))</x:f>
        <x:v>452.37010994576247</x:v>
      </x:c>
      <x:c r="H814" s="73" t="n">
        <x:f>MOD(INT(G814)-1,Control!$B$7)+1</x:f>
        <x:v>50</x:v>
      </x:c>
      <x:c r="I814" s="73" t="n">
        <x:f>MIN(Control!$B$6,MAX(1,INT(MAX(0,G814)/Control!$B$7)+1))</x:f>
        <x:v>4</x:v>
      </x:c>
      <x:c r="J814" s="73" t="n">
        <x:f>INDEX(Drivers!$H$8:$H$13,B814)</x:f>
        <x:v>1</x:v>
      </x:c>
      <x:c r="K814" s="73" t="n">
        <x:f>IF(J814=1,INDEX(TrackMap!$I$8:$I$141,H814),INDEX(TrackMap!$L$8:$L$141,H814))</x:f>
        <x:v>1623</x:v>
      </x:c>
      <x:c r="L814" s="73" t="str">
        <x:f>INDEX(TrackMap!$F$8:$F$141,H814)</x:f>
        <x:v>→</x:v>
      </x:c>
      <x:c r="M814" s="87" t="n">
        <x:f>MAX(0,G814/Control!$B$17)</x:f>
        <x:v>0.6751792685757648</x:v>
      </x:c>
      <x:c r="N814" s="73" t="n">
        <x:f>IF(N808&gt;0,N808,IF(G814&gt;=Control!$B$17,A814,0))</x:f>
        <x:v>0</x:v>
      </x:c>
      <x:c r="O814" s="91" t="n">
        <x:f>IF(N814&gt;0,Control!$B$17+Control!$B$8+1-N814,G814)-B814/100000</x:f>
        <x:v>452.3700799457625</x:v>
      </x:c>
      <x:c r="P814" s="73" t="n">
        <x:f>COUNTIF($O$812:$O$817,"&gt;"&amp;O814)+1</x:f>
        <x:v>4</x:v>
      </x:c>
      <x:c r="Q814" s="83" t="n">
        <x:f>MAX($G$812:$G$817)-G814</x:f>
        <x:v>13.694188486624398</x:v>
      </x:c>
      <x:c r="R814" s="73" t="str">
        <x:f>INDEX(TrackMap!$B$8:$B$141,H814)</x:f>
        <x:v>中央高速直道</x:v>
      </x:c>
    </x:row>
    <x:row r="815" ht="20" customHeight="1">
      <x:c r="A815" s="73" t="n">
        <x:v>134</x:v>
      </x:c>
      <x:c r="B815" s="73" t="n">
        <x:v>4</x:v>
      </x:c>
      <x:c r="C815" s="73" t="str">
        <x:f>INDEX(Drivers!$B$8:$B$13,B815)</x:f>
        <x:v>紫影</x:v>
      </x:c>
      <x:c r="D815" s="83" t="n">
        <x:f>G809</x:f>
        <x:v>442.77381960506256</x:v>
      </x:c>
      <x:c r="E815" s="83" t="str">
        <x:f>IF(A815=0,"GRID",IF(D815&gt;=Control!$B$17,"FINISHED",IF(AND(A815&gt;=INDEX(Drivers!$G$8:$G$13,B815),A815&lt;INDEX(Drivers!$G$8:$G$13,B815)+INDEX(Drivers!$J$8:$J$13,B815)),"PIT",IF(MOD(A815+INDEX(Drivers!$F$8:$F$13,B815),Control!$B$11)&lt;Control!$B$13,"BOOST","RACE"))))</x:f>
        <x:v>BOOST</x:v>
      </x:c>
      <x:c r="F815" s="83" t="n">
        <x:f>IF(OR(E815="GRID",E815="FINISHED",E815="PIT"),0,MAX(Control!$B$15,(INDEX(Drivers!$D$8:$D$13,B815)+INDEX(Drivers!$E$8:$E$13,B815)*SIN((A815+INDEX(Drivers!$F$8:$F$13,B815)+Control!$B$16)*Control!$B$14))*INDEX(TrackMap!$M$8:$M$141,MOD(INT(D815)-1,Control!$B$7)+1)*IF(E815="BOOST",Control!$B$12,1)))</x:f>
        <x:v>3.609233102125129</x:v>
      </x:c>
      <x:c r="G815" s="83" t="n">
        <x:f>IF(A815=0,D815,MIN(Control!$B$17,D815+F815))</x:f>
        <x:v>446.3830527071877</x:v>
      </x:c>
      <x:c r="H815" s="73" t="n">
        <x:f>MOD(INT(G815)-1,Control!$B$7)+1</x:f>
        <x:v>44</x:v>
      </x:c>
      <x:c r="I815" s="73" t="n">
        <x:f>MIN(Control!$B$6,MAX(1,INT(MAX(0,G815)/Control!$B$7)+1))</x:f>
        <x:v>4</x:v>
      </x:c>
      <x:c r="J815" s="73" t="n">
        <x:f>INDEX(Drivers!$H$8:$H$13,B815)</x:f>
        <x:v>2</x:v>
      </x:c>
      <x:c r="K815" s="73" t="n">
        <x:f>IF(J815=1,INDEX(TrackMap!$I$8:$I$141,H815),INDEX(TrackMap!$L$8:$L$141,H815))</x:f>
        <x:v>1120</x:v>
      </x:c>
      <x:c r="L815" s="73" t="str">
        <x:f>INDEX(TrackMap!$F$8:$F$141,H815)</x:f>
        <x:v>↓</x:v>
      </x:c>
      <x:c r="M815" s="87" t="n">
        <x:f>MAX(0,G815/Control!$B$17)</x:f>
        <x:v>0.6662433622495338</x:v>
      </x:c>
      <x:c r="N815" s="73" t="n">
        <x:f>IF(N809&gt;0,N809,IF(G815&gt;=Control!$B$17,A815,0))</x:f>
        <x:v>0</x:v>
      </x:c>
      <x:c r="O815" s="91" t="n">
        <x:f>IF(N815&gt;0,Control!$B$17+Control!$B$8+1-N815,G815)-B815/100000</x:f>
        <x:v>446.3830127071877</x:v>
      </x:c>
      <x:c r="P815" s="73" t="n">
        <x:f>COUNTIF($O$812:$O$817,"&gt;"&amp;O815)+1</x:f>
        <x:v>5</x:v>
      </x:c>
      <x:c r="Q815" s="83" t="n">
        <x:f>MAX($G$812:$G$817)-G815</x:f>
        <x:v>19.681245725199176</x:v>
      </x:c>
      <x:c r="R815" s="73" t="str">
        <x:f>INDEX(TrackMap!$B$8:$B$141,H815)</x:f>
        <x:v>中段下行弯</x:v>
      </x:c>
    </x:row>
    <x:row r="816" ht="20" customHeight="1">
      <x:c r="A816" s="73" t="n">
        <x:v>134</x:v>
      </x:c>
      <x:c r="B816" s="73" t="n">
        <x:v>5</x:v>
      </x:c>
      <x:c r="C816" s="73" t="str">
        <x:f>INDEX(Drivers!$B$8:$B$13,B816)</x:f>
        <x:v>青锋</x:v>
      </x:c>
      <x:c r="D816" s="83" t="n">
        <x:f>G810</x:f>
        <x:v>459.1223080045022</x:v>
      </x:c>
      <x:c r="E816" s="83" t="str">
        <x:f>IF(A816=0,"GRID",IF(D816&gt;=Control!$B$17,"FINISHED",IF(AND(A816&gt;=INDEX(Drivers!$G$8:$G$13,B816),A816&lt;INDEX(Drivers!$G$8:$G$13,B816)+INDEX(Drivers!$J$8:$J$13,B816)),"PIT",IF(MOD(A816+INDEX(Drivers!$F$8:$F$13,B816),Control!$B$11)&lt;Control!$B$13,"BOOST","RACE"))))</x:f>
        <x:v>RACE</x:v>
      </x:c>
      <x:c r="F816" s="83" t="n">
        <x:f>IF(OR(E816="GRID",E816="FINISHED",E816="PIT"),0,MAX(Control!$B$15,(INDEX(Drivers!$D$8:$D$13,B816)+INDEX(Drivers!$E$8:$E$13,B816)*SIN((A816+INDEX(Drivers!$F$8:$F$13,B816)+Control!$B$16)*Control!$B$14))*INDEX(TrackMap!$M$8:$M$141,MOD(INT(D816)-1,Control!$B$7)+1)*IF(E816="BOOST",Control!$B$12,1)))</x:f>
        <x:v>3.4720293905160164</x:v>
      </x:c>
      <x:c r="G816" s="83" t="n">
        <x:f>IF(A816=0,D816,MIN(Control!$B$17,D816+F816))</x:f>
        <x:v>462.5943373950182</x:v>
      </x:c>
      <x:c r="H816" s="73" t="n">
        <x:f>MOD(INT(G816)-1,Control!$B$7)+1</x:f>
        <x:v>60</x:v>
      </x:c>
      <x:c r="I816" s="73" t="n">
        <x:f>MIN(Control!$B$6,MAX(1,INT(MAX(0,G816)/Control!$B$7)+1))</x:f>
        <x:v>4</x:v>
      </x:c>
      <x:c r="J816" s="73" t="n">
        <x:f>INDEX(Drivers!$H$8:$H$13,B816)</x:f>
        <x:v>1</x:v>
      </x:c>
      <x:c r="K816" s="73" t="n">
        <x:f>IF(J816=1,INDEX(TrackMap!$I$8:$I$141,H816),INDEX(TrackMap!$L$8:$L$141,H816))</x:f>
        <x:v>1633</x:v>
      </x:c>
      <x:c r="L816" s="73" t="str">
        <x:f>INDEX(TrackMap!$F$8:$F$141,H816)</x:f>
        <x:v>→</x:v>
      </x:c>
      <x:c r="M816" s="87" t="n">
        <x:f>MAX(0,G816/Control!$B$17)</x:f>
        <x:v>0.6904393095448033</x:v>
      </x:c>
      <x:c r="N816" s="73" t="n">
        <x:f>IF(N810&gt;0,N810,IF(G816&gt;=Control!$B$17,A816,0))</x:f>
        <x:v>0</x:v>
      </x:c>
      <x:c r="O816" s="91" t="n">
        <x:f>IF(N816&gt;0,Control!$B$17+Control!$B$8+1-N816,G816)-B816/100000</x:f>
        <x:v>462.5942873950182</x:v>
      </x:c>
      <x:c r="P816" s="73" t="n">
        <x:f>COUNTIF($O$812:$O$817,"&gt;"&amp;O816)+1</x:f>
        <x:v>2</x:v>
      </x:c>
      <x:c r="Q816" s="83" t="n">
        <x:f>MAX($G$812:$G$817)-G816</x:f>
        <x:v>3.4699610373686482</x:v>
      </x:c>
      <x:c r="R816" s="73" t="str">
        <x:f>INDEX(TrackMap!$B$8:$B$141,H816)</x:f>
        <x:v>中央高速直道</x:v>
      </x:c>
    </x:row>
    <x:row r="817" ht="20" customHeight="1">
      <x:c r="A817" s="73" t="n">
        <x:v>134</x:v>
      </x:c>
      <x:c r="B817" s="73" t="n">
        <x:v>6</x:v>
      </x:c>
      <x:c r="C817" s="73" t="str">
        <x:f>INDEX(Drivers!$B$8:$B$13,B817)</x:f>
        <x:v>玫速</x:v>
      </x:c>
      <x:c r="D817" s="83" t="n">
        <x:f>G811</x:f>
        <x:v>461.9294909661124</x:v>
      </x:c>
      <x:c r="E817" s="83" t="str">
        <x:f>IF(A817=0,"GRID",IF(D817&gt;=Control!$B$17,"FINISHED",IF(AND(A817&gt;=INDEX(Drivers!$G$8:$G$13,B817),A817&lt;INDEX(Drivers!$G$8:$G$13,B817)+INDEX(Drivers!$J$8:$J$13,B817)),"PIT",IF(MOD(A817+INDEX(Drivers!$F$8:$F$13,B817),Control!$B$11)&lt;Control!$B$13,"BOOST","RACE"))))</x:f>
        <x:v>RACE</x:v>
      </x:c>
      <x:c r="F817" s="83" t="n">
        <x:f>IF(OR(E817="GRID",E817="FINISHED",E817="PIT"),0,MAX(Control!$B$15,(INDEX(Drivers!$D$8:$D$13,B817)+INDEX(Drivers!$E$8:$E$13,B817)*SIN((A817+INDEX(Drivers!$F$8:$F$13,B817)+Control!$B$16)*Control!$B$14))*INDEX(TrackMap!$M$8:$M$141,MOD(INT(D817)-1,Control!$B$7)+1)*IF(E817="BOOST",Control!$B$12,1)))</x:f>
        <x:v>4.134807466274506</x:v>
      </x:c>
      <x:c r="G817" s="83" t="n">
        <x:f>IF(A817=0,D817,MIN(Control!$B$17,D817+F817))</x:f>
        <x:v>466.06429843238686</x:v>
      </x:c>
      <x:c r="H817" s="73" t="n">
        <x:f>MOD(INT(G817)-1,Control!$B$7)+1</x:f>
        <x:v>64</x:v>
      </x:c>
      <x:c r="I817" s="73" t="n">
        <x:f>MIN(Control!$B$6,MAX(1,INT(MAX(0,G817)/Control!$B$7)+1))</x:f>
        <x:v>4</x:v>
      </x:c>
      <x:c r="J817" s="73" t="n">
        <x:f>INDEX(Drivers!$H$8:$H$13,B817)</x:f>
        <x:v>2</x:v>
      </x:c>
      <x:c r="K817" s="73" t="n">
        <x:f>IF(J817=1,INDEX(TrackMap!$I$8:$I$141,H817),INDEX(TrackMap!$L$8:$L$141,H817))</x:f>
        <x:v>1537</x:v>
      </x:c>
      <x:c r="L817" s="73" t="str">
        <x:f>INDEX(TrackMap!$F$8:$F$141,H817)</x:f>
        <x:v>→</x:v>
      </x:c>
      <x:c r="M817" s="87" t="n">
        <x:f>MAX(0,G817/Control!$B$17)</x:f>
        <x:v>0.6956183558692342</x:v>
      </x:c>
      <x:c r="N817" s="73" t="n">
        <x:f>IF(N811&gt;0,N811,IF(G817&gt;=Control!$B$17,A817,0))</x:f>
        <x:v>0</x:v>
      </x:c>
      <x:c r="O817" s="91" t="n">
        <x:f>IF(N817&gt;0,Control!$B$17+Control!$B$8+1-N817,G817)-B817/100000</x:f>
        <x:v>466.06423843238684</x:v>
      </x:c>
      <x:c r="P817" s="73" t="n">
        <x:f>COUNTIF($O$812:$O$817,"&gt;"&amp;O817)+1</x:f>
        <x:v>1</x:v>
      </x:c>
      <x:c r="Q817" s="83" t="n">
        <x:f>MAX($G$812:$G$817)-G817</x:f>
        <x:v>0</x:v>
      </x:c>
      <x:c r="R817" s="73" t="str">
        <x:f>INDEX(TrackMap!$B$8:$B$141,H817)</x:f>
        <x:v>中央高速直道</x:v>
      </x:c>
    </x:row>
    <x:row r="818" ht="20" customHeight="1">
      <x:c r="A818" s="73" t="n">
        <x:v>135</x:v>
      </x:c>
      <x:c r="B818" s="73" t="n">
        <x:v>1</x:v>
      </x:c>
      <x:c r="C818" s="73" t="str">
        <x:f>INDEX(Drivers!$B$8:$B$13,B818)</x:f>
        <x:v>赤焰</x:v>
      </x:c>
      <x:c r="D818" s="83" t="n">
        <x:f>G812</x:f>
        <x:v>458.8874002776084</x:v>
      </x:c>
      <x:c r="E818" s="83" t="str">
        <x:f>IF(A818=0,"GRID",IF(D818&gt;=Control!$B$17,"FINISHED",IF(AND(A818&gt;=INDEX(Drivers!$G$8:$G$13,B818),A818&lt;INDEX(Drivers!$G$8:$G$13,B818)+INDEX(Drivers!$J$8:$J$13,B818)),"PIT",IF(MOD(A818+INDEX(Drivers!$F$8:$F$13,B818),Control!$B$11)&lt;Control!$B$13,"BOOST","RACE"))))</x:f>
        <x:v>RACE</x:v>
      </x:c>
      <x:c r="F818" s="83" t="n">
        <x:f>IF(OR(E818="GRID",E818="FINISHED",E818="PIT"),0,MAX(Control!$B$15,(INDEX(Drivers!$D$8:$D$13,B818)+INDEX(Drivers!$E$8:$E$13,B818)*SIN((A818+INDEX(Drivers!$F$8:$F$13,B818)+Control!$B$16)*Control!$B$14))*INDEX(TrackMap!$M$8:$M$141,MOD(INT(D818)-1,Control!$B$7)+1)*IF(E818="BOOST",Control!$B$12,1)))</x:f>
        <x:v>3.1063520875716897</x:v>
      </x:c>
      <x:c r="G818" s="83" t="n">
        <x:f>IF(A818=0,D818,MIN(Control!$B$17,D818+F818))</x:f>
        <x:v>461.99375236518006</x:v>
      </x:c>
      <x:c r="H818" s="73" t="n">
        <x:f>MOD(INT(G818)-1,Control!$B$7)+1</x:f>
        <x:v>59</x:v>
      </x:c>
      <x:c r="I818" s="73" t="n">
        <x:f>MIN(Control!$B$6,MAX(1,INT(MAX(0,G818)/Control!$B$7)+1))</x:f>
        <x:v>4</x:v>
      </x:c>
      <x:c r="J818" s="73" t="n">
        <x:f>INDEX(Drivers!$H$8:$H$13,B818)</x:f>
        <x:v>1</x:v>
      </x:c>
      <x:c r="K818" s="73" t="n">
        <x:f>IF(J818=1,INDEX(TrackMap!$I$8:$I$141,H818),INDEX(TrackMap!$L$8:$L$141,H818))</x:f>
        <x:v>1632</x:v>
      </x:c>
      <x:c r="L818" s="73" t="str">
        <x:f>INDEX(TrackMap!$F$8:$F$141,H818)</x:f>
        <x:v>→</x:v>
      </x:c>
      <x:c r="M818" s="87" t="n">
        <x:f>MAX(0,G818/Control!$B$17)</x:f>
        <x:v>0.6895429139778807</x:v>
      </x:c>
      <x:c r="N818" s="73" t="n">
        <x:f>IF(N812&gt;0,N812,IF(G818&gt;=Control!$B$17,A818,0))</x:f>
        <x:v>0</x:v>
      </x:c>
      <x:c r="O818" s="91" t="n">
        <x:f>IF(N818&gt;0,Control!$B$17+Control!$B$8+1-N818,G818)-B818/100000</x:f>
        <x:v>461.9937423651801</x:v>
      </x:c>
      <x:c r="P818" s="73" t="n">
        <x:f>COUNTIF($O$818:$O$823,"&gt;"&amp;O818)+1</x:f>
        <x:v>3</x:v>
      </x:c>
      <x:c r="Q818" s="83" t="n">
        <x:f>MAX($G$818:$G$823)-G818</x:f>
        <x:v>8.033059455857028</x:v>
      </x:c>
      <x:c r="R818" s="73" t="str">
        <x:f>INDEX(TrackMap!$B$8:$B$141,H818)</x:f>
        <x:v>中央高速直道</x:v>
      </x:c>
    </x:row>
    <x:row r="819" ht="20" customHeight="1">
      <x:c r="A819" s="73" t="n">
        <x:v>135</x:v>
      </x:c>
      <x:c r="B819" s="73" t="n">
        <x:v>2</x:v>
      </x:c>
      <x:c r="C819" s="73" t="str">
        <x:f>INDEX(Drivers!$B$8:$B$13,B819)</x:f>
        <x:v>蓝电</x:v>
      </x:c>
      <x:c r="D819" s="83" t="n">
        <x:f>G813</x:f>
        <x:v>440.9242814342485</x:v>
      </x:c>
      <x:c r="E819" s="83" t="str">
        <x:f>IF(A819=0,"GRID",IF(D819&gt;=Control!$B$17,"FINISHED",IF(AND(A819&gt;=INDEX(Drivers!$G$8:$G$13,B819),A819&lt;INDEX(Drivers!$G$8:$G$13,B819)+INDEX(Drivers!$J$8:$J$13,B819)),"PIT",IF(MOD(A819+INDEX(Drivers!$F$8:$F$13,B819),Control!$B$11)&lt;Control!$B$13,"BOOST","RACE"))))</x:f>
        <x:v>RACE</x:v>
      </x:c>
      <x:c r="F819" s="83" t="n">
        <x:f>IF(OR(E819="GRID",E819="FINISHED",E819="PIT"),0,MAX(Control!$B$15,(INDEX(Drivers!$D$8:$D$13,B819)+INDEX(Drivers!$E$8:$E$13,B819)*SIN((A819+INDEX(Drivers!$F$8:$F$13,B819)+Control!$B$16)*Control!$B$14))*INDEX(TrackMap!$M$8:$M$141,MOD(INT(D819)-1,Control!$B$7)+1)*IF(E819="BOOST",Control!$B$12,1)))</x:f>
        <x:v>3.2235541514422317</x:v>
      </x:c>
      <x:c r="G819" s="83" t="n">
        <x:f>IF(A819=0,D819,MIN(Control!$B$17,D819+F819))</x:f>
        <x:v>444.1478355856907</x:v>
      </x:c>
      <x:c r="H819" s="73" t="n">
        <x:f>MOD(INT(G819)-1,Control!$B$7)+1</x:f>
        <x:v>42</x:v>
      </x:c>
      <x:c r="I819" s="73" t="n">
        <x:f>MIN(Control!$B$6,MAX(1,INT(MAX(0,G819)/Control!$B$7)+1))</x:f>
        <x:v>4</x:v>
      </x:c>
      <x:c r="J819" s="73" t="n">
        <x:f>INDEX(Drivers!$H$8:$H$13,B819)</x:f>
        <x:v>2</x:v>
      </x:c>
      <x:c r="K819" s="73" t="n">
        <x:f>IF(J819=1,INDEX(TrackMap!$I$8:$I$141,H819),INDEX(TrackMap!$L$8:$L$141,H819))</x:f>
        <x:v>918</x:v>
      </x:c>
      <x:c r="L819" s="73" t="str">
        <x:f>INDEX(TrackMap!$F$8:$F$141,H819)</x:f>
        <x:v>→</x:v>
      </x:c>
      <x:c r="M819" s="87" t="n">
        <x:f>MAX(0,G819/Control!$B$17)</x:f>
        <x:v>0.6629072172920757</x:v>
      </x:c>
      <x:c r="N819" s="73" t="n">
        <x:f>IF(N813&gt;0,N813,IF(G819&gt;=Control!$B$17,A819,0))</x:f>
        <x:v>0</x:v>
      </x:c>
      <x:c r="O819" s="91" t="n">
        <x:f>IF(N819&gt;0,Control!$B$17+Control!$B$8+1-N819,G819)-B819/100000</x:f>
        <x:v>444.1478155856907</x:v>
      </x:c>
      <x:c r="P819" s="73" t="n">
        <x:f>COUNTIF($O$818:$O$823,"&gt;"&amp;O819)+1</x:f>
        <x:v>6</x:v>
      </x:c>
      <x:c r="Q819" s="83" t="n">
        <x:f>MAX($G$818:$G$823)-G819</x:f>
        <x:v>25.878976235346386</x:v>
      </x:c>
      <x:c r="R819" s="73" t="str">
        <x:f>INDEX(TrackMap!$B$8:$B$141,H819)</x:f>
        <x:v>西侧发卡弯</x:v>
      </x:c>
    </x:row>
    <x:row r="820" ht="20" customHeight="1">
      <x:c r="A820" s="73" t="n">
        <x:v>135</x:v>
      </x:c>
      <x:c r="B820" s="73" t="n">
        <x:v>3</x:v>
      </x:c>
      <x:c r="C820" s="73" t="str">
        <x:f>INDEX(Drivers!$B$8:$B$13,B820)</x:f>
        <x:v>金翼</x:v>
      </x:c>
      <x:c r="D820" s="83" t="n">
        <x:f>G814</x:f>
        <x:v>452.37010994576247</x:v>
      </x:c>
      <x:c r="E820" s="83" t="str">
        <x:f>IF(A820=0,"GRID",IF(D820&gt;=Control!$B$17,"FINISHED",IF(AND(A820&gt;=INDEX(Drivers!$G$8:$G$13,B820),A820&lt;INDEX(Drivers!$G$8:$G$13,B820)+INDEX(Drivers!$J$8:$J$13,B820)),"PIT",IF(MOD(A820+INDEX(Drivers!$F$8:$F$13,B820),Control!$B$11)&lt;Control!$B$13,"BOOST","RACE"))))</x:f>
        <x:v>RACE</x:v>
      </x:c>
      <x:c r="F820" s="83" t="n">
        <x:f>IF(OR(E820="GRID",E820="FINISHED",E820="PIT"),0,MAX(Control!$B$15,(INDEX(Drivers!$D$8:$D$13,B820)+INDEX(Drivers!$E$8:$E$13,B820)*SIN((A820+INDEX(Drivers!$F$8:$F$13,B820)+Control!$B$16)*Control!$B$14))*INDEX(TrackMap!$M$8:$M$141,MOD(INT(D820)-1,Control!$B$7)+1)*IF(E820="BOOST",Control!$B$12,1)))</x:f>
        <x:v>3.4095884039650795</x:v>
      </x:c>
      <x:c r="G820" s="83" t="n">
        <x:f>IF(A820=0,D820,MIN(Control!$B$17,D820+F820))</x:f>
        <x:v>455.77969834972754</x:v>
      </x:c>
      <x:c r="H820" s="73" t="n">
        <x:f>MOD(INT(G820)-1,Control!$B$7)+1</x:f>
        <x:v>53</x:v>
      </x:c>
      <x:c r="I820" s="73" t="n">
        <x:f>MIN(Control!$B$6,MAX(1,INT(MAX(0,G820)/Control!$B$7)+1))</x:f>
        <x:v>4</x:v>
      </x:c>
      <x:c r="J820" s="73" t="n">
        <x:f>INDEX(Drivers!$H$8:$H$13,B820)</x:f>
        <x:v>1</x:v>
      </x:c>
      <x:c r="K820" s="73" t="n">
        <x:f>IF(J820=1,INDEX(TrackMap!$I$8:$I$141,H820),INDEX(TrackMap!$L$8:$L$141,H820))</x:f>
        <x:v>1626</x:v>
      </x:c>
      <x:c r="L820" s="73" t="str">
        <x:f>INDEX(TrackMap!$F$8:$F$141,H820)</x:f>
        <x:v>→</x:v>
      </x:c>
      <x:c r="M820" s="87" t="n">
        <x:f>MAX(0,G820/Control!$B$17)</x:f>
        <x:v>0.6802682064921306</x:v>
      </x:c>
      <x:c r="N820" s="73" t="n">
        <x:f>IF(N814&gt;0,N814,IF(G820&gt;=Control!$B$17,A820,0))</x:f>
        <x:v>0</x:v>
      </x:c>
      <x:c r="O820" s="91" t="n">
        <x:f>IF(N820&gt;0,Control!$B$17+Control!$B$8+1-N820,G820)-B820/100000</x:f>
        <x:v>455.77966834972756</x:v>
      </x:c>
      <x:c r="P820" s="73" t="n">
        <x:f>COUNTIF($O$818:$O$823,"&gt;"&amp;O820)+1</x:f>
        <x:v>4</x:v>
      </x:c>
      <x:c r="Q820" s="83" t="n">
        <x:f>MAX($G$818:$G$823)-G820</x:f>
        <x:v>14.247113471309547</x:v>
      </x:c>
      <x:c r="R820" s="73" t="str">
        <x:f>INDEX(TrackMap!$B$8:$B$141,H820)</x:f>
        <x:v>中央高速直道</x:v>
      </x:c>
    </x:row>
    <x:row r="821" ht="20" customHeight="1">
      <x:c r="A821" s="73" t="n">
        <x:v>135</x:v>
      </x:c>
      <x:c r="B821" s="73" t="n">
        <x:v>4</x:v>
      </x:c>
      <x:c r="C821" s="73" t="str">
        <x:f>INDEX(Drivers!$B$8:$B$13,B821)</x:f>
        <x:v>紫影</x:v>
      </x:c>
      <x:c r="D821" s="83" t="n">
        <x:f>G815</x:f>
        <x:v>446.3830527071877</x:v>
      </x:c>
      <x:c r="E821" s="83" t="str">
        <x:f>IF(A821=0,"GRID",IF(D821&gt;=Control!$B$17,"FINISHED",IF(AND(A821&gt;=INDEX(Drivers!$G$8:$G$13,B821),A821&lt;INDEX(Drivers!$G$8:$G$13,B821)+INDEX(Drivers!$J$8:$J$13,B821)),"PIT",IF(MOD(A821+INDEX(Drivers!$F$8:$F$13,B821),Control!$B$11)&lt;Control!$B$13,"BOOST","RACE"))))</x:f>
        <x:v>BOOST</x:v>
      </x:c>
      <x:c r="F821" s="83" t="n">
        <x:f>IF(OR(E821="GRID",E821="FINISHED",E821="PIT"),0,MAX(Control!$B$15,(INDEX(Drivers!$D$8:$D$13,B821)+INDEX(Drivers!$E$8:$E$13,B821)*SIN((A821+INDEX(Drivers!$F$8:$F$13,B821)+Control!$B$16)*Control!$B$14))*INDEX(TrackMap!$M$8:$M$141,MOD(INT(D821)-1,Control!$B$7)+1)*IF(E821="BOOST",Control!$B$12,1)))</x:f>
        <x:v>3.8323878484616105</x:v>
      </x:c>
      <x:c r="G821" s="83" t="n">
        <x:f>IF(A821=0,D821,MIN(Control!$B$17,D821+F821))</x:f>
        <x:v>450.2154405556493</x:v>
      </x:c>
      <x:c r="H821" s="73" t="n">
        <x:f>MOD(INT(G821)-1,Control!$B$7)+1</x:f>
        <x:v>48</x:v>
      </x:c>
      <x:c r="I821" s="73" t="n">
        <x:f>MIN(Control!$B$6,MAX(1,INT(MAX(0,G821)/Control!$B$7)+1))</x:f>
        <x:v>4</x:v>
      </x:c>
      <x:c r="J821" s="73" t="n">
        <x:f>INDEX(Drivers!$H$8:$H$13,B821)</x:f>
        <x:v>2</x:v>
      </x:c>
      <x:c r="K821" s="73" t="n">
        <x:f>IF(J821=1,INDEX(TrackMap!$I$8:$I$141,H821),INDEX(TrackMap!$L$8:$L$141,H821))</x:f>
        <x:v>1521</x:v>
      </x:c>
      <x:c r="L821" s="73" t="str">
        <x:f>INDEX(TrackMap!$F$8:$F$141,H821)</x:f>
        <x:v>→</x:v>
      </x:c>
      <x:c r="M821" s="87" t="n">
        <x:f>MAX(0,G821/Control!$B$17)</x:f>
        <x:v>0.6719633441129094</x:v>
      </x:c>
      <x:c r="N821" s="73" t="n">
        <x:f>IF(N815&gt;0,N815,IF(G821&gt;=Control!$B$17,A821,0))</x:f>
        <x:v>0</x:v>
      </x:c>
      <x:c r="O821" s="91" t="n">
        <x:f>IF(N821&gt;0,Control!$B$17+Control!$B$8+1-N821,G821)-B821/100000</x:f>
        <x:v>450.2154005556493</x:v>
      </x:c>
      <x:c r="P821" s="73" t="n">
        <x:f>COUNTIF($O$818:$O$823,"&gt;"&amp;O821)+1</x:f>
        <x:v>5</x:v>
      </x:c>
      <x:c r="Q821" s="83" t="n">
        <x:f>MAX($G$818:$G$823)-G821</x:f>
        <x:v>19.811371265387777</x:v>
      </x:c>
      <x:c r="R821" s="73" t="str">
        <x:f>INDEX(TrackMap!$B$8:$B$141,H821)</x:f>
        <x:v>中央高速直道</x:v>
      </x:c>
    </x:row>
    <x:row r="822" ht="20" customHeight="1">
      <x:c r="A822" s="73" t="n">
        <x:v>135</x:v>
      </x:c>
      <x:c r="B822" s="73" t="n">
        <x:v>5</x:v>
      </x:c>
      <x:c r="C822" s="73" t="str">
        <x:f>INDEX(Drivers!$B$8:$B$13,B822)</x:f>
        <x:v>青锋</x:v>
      </x:c>
      <x:c r="D822" s="83" t="n">
        <x:f>G816</x:f>
        <x:v>462.5943373950182</x:v>
      </x:c>
      <x:c r="E822" s="83" t="str">
        <x:f>IF(A822=0,"GRID",IF(D822&gt;=Control!$B$17,"FINISHED",IF(AND(A822&gt;=INDEX(Drivers!$G$8:$G$13,B822),A822&lt;INDEX(Drivers!$G$8:$G$13,B822)+INDEX(Drivers!$J$8:$J$13,B822)),"PIT",IF(MOD(A822+INDEX(Drivers!$F$8:$F$13,B822),Control!$B$11)&lt;Control!$B$13,"BOOST","RACE"))))</x:f>
        <x:v>PIT</x:v>
      </x:c>
      <x:c r="F822" s="83" t="n">
        <x:f>IF(OR(E822="GRID",E822="FINISHED",E822="PIT"),0,MAX(Control!$B$15,(INDEX(Drivers!$D$8:$D$13,B822)+INDEX(Drivers!$E$8:$E$13,B822)*SIN((A822+INDEX(Drivers!$F$8:$F$13,B822)+Control!$B$16)*Control!$B$14))*INDEX(TrackMap!$M$8:$M$141,MOD(INT(D822)-1,Control!$B$7)+1)*IF(E822="BOOST",Control!$B$12,1)))</x:f>
        <x:v>0</x:v>
      </x:c>
      <x:c r="G822" s="83" t="n">
        <x:f>IF(A822=0,D822,MIN(Control!$B$17,D822+F822))</x:f>
        <x:v>462.5943373950182</x:v>
      </x:c>
      <x:c r="H822" s="73" t="n">
        <x:f>MOD(INT(G822)-1,Control!$B$7)+1</x:f>
        <x:v>60</x:v>
      </x:c>
      <x:c r="I822" s="73" t="n">
        <x:f>MIN(Control!$B$6,MAX(1,INT(MAX(0,G822)/Control!$B$7)+1))</x:f>
        <x:v>4</x:v>
      </x:c>
      <x:c r="J822" s="73" t="n">
        <x:f>INDEX(Drivers!$H$8:$H$13,B822)</x:f>
        <x:v>1</x:v>
      </x:c>
      <x:c r="K822" s="73" t="n">
        <x:f>IF(J822=1,INDEX(TrackMap!$I$8:$I$141,H822),INDEX(TrackMap!$L$8:$L$141,H822))</x:f>
        <x:v>1633</x:v>
      </x:c>
      <x:c r="L822" s="73" t="str">
        <x:f>INDEX(TrackMap!$F$8:$F$141,H822)</x:f>
        <x:v>→</x:v>
      </x:c>
      <x:c r="M822" s="87" t="n">
        <x:f>MAX(0,G822/Control!$B$17)</x:f>
        <x:v>0.6904393095448033</x:v>
      </x:c>
      <x:c r="N822" s="73" t="n">
        <x:f>IF(N816&gt;0,N816,IF(G822&gt;=Control!$B$17,A822,0))</x:f>
        <x:v>0</x:v>
      </x:c>
      <x:c r="O822" s="91" t="n">
        <x:f>IF(N822&gt;0,Control!$B$17+Control!$B$8+1-N822,G822)-B822/100000</x:f>
        <x:v>462.5942873950182</x:v>
      </x:c>
      <x:c r="P822" s="73" t="n">
        <x:f>COUNTIF($O$818:$O$823,"&gt;"&amp;O822)+1</x:f>
        <x:v>2</x:v>
      </x:c>
      <x:c r="Q822" s="83" t="n">
        <x:f>MAX($G$818:$G$823)-G822</x:f>
        <x:v>7.432474426018871</x:v>
      </x:c>
      <x:c r="R822" s="73" t="str">
        <x:f>INDEX(TrackMap!$B$8:$B$141,H822)</x:f>
        <x:v>中央高速直道</x:v>
      </x:c>
    </x:row>
    <x:row r="823" ht="20" customHeight="1">
      <x:c r="A823" s="73" t="n">
        <x:v>135</x:v>
      </x:c>
      <x:c r="B823" s="73" t="n">
        <x:v>6</x:v>
      </x:c>
      <x:c r="C823" s="73" t="str">
        <x:f>INDEX(Drivers!$B$8:$B$13,B823)</x:f>
        <x:v>玫速</x:v>
      </x:c>
      <x:c r="D823" s="83" t="n">
        <x:f>G817</x:f>
        <x:v>466.06429843238686</x:v>
      </x:c>
      <x:c r="E823" s="83" t="str">
        <x:f>IF(A823=0,"GRID",IF(D823&gt;=Control!$B$17,"FINISHED",IF(AND(A823&gt;=INDEX(Drivers!$G$8:$G$13,B823),A823&lt;INDEX(Drivers!$G$8:$G$13,B823)+INDEX(Drivers!$J$8:$J$13,B823)),"PIT",IF(MOD(A823+INDEX(Drivers!$F$8:$F$13,B823),Control!$B$11)&lt;Control!$B$13,"BOOST","RACE"))))</x:f>
        <x:v>RACE</x:v>
      </x:c>
      <x:c r="F823" s="83" t="n">
        <x:f>IF(OR(E823="GRID",E823="FINISHED",E823="PIT"),0,MAX(Control!$B$15,(INDEX(Drivers!$D$8:$D$13,B823)+INDEX(Drivers!$E$8:$E$13,B823)*SIN((A823+INDEX(Drivers!$F$8:$F$13,B823)+Control!$B$16)*Control!$B$14))*INDEX(TrackMap!$M$8:$M$141,MOD(INT(D823)-1,Control!$B$7)+1)*IF(E823="BOOST",Control!$B$12,1)))</x:f>
        <x:v>3.9625133886502324</x:v>
      </x:c>
      <x:c r="G823" s="83" t="n">
        <x:f>IF(A823=0,D823,MIN(Control!$B$17,D823+F823))</x:f>
        <x:v>470.0268118210371</x:v>
      </x:c>
      <x:c r="H823" s="73" t="n">
        <x:f>MOD(INT(G823)-1,Control!$B$7)+1</x:f>
        <x:v>68</x:v>
      </x:c>
      <x:c r="I823" s="73" t="n">
        <x:f>MIN(Control!$B$6,MAX(1,INT(MAX(0,G823)/Control!$B$7)+1))</x:f>
        <x:v>4</x:v>
      </x:c>
      <x:c r="J823" s="73" t="n">
        <x:f>INDEX(Drivers!$H$8:$H$13,B823)</x:f>
        <x:v>2</x:v>
      </x:c>
      <x:c r="K823" s="73" t="n">
        <x:f>IF(J823=1,INDEX(TrackMap!$I$8:$I$141,H823),INDEX(TrackMap!$L$8:$L$141,H823))</x:f>
        <x:v>1541</x:v>
      </x:c>
      <x:c r="L823" s="73" t="str">
        <x:f>INDEX(TrackMap!$F$8:$F$141,H823)</x:f>
        <x:v>→</x:v>
      </x:c>
      <x:c r="M823" s="87" t="n">
        <x:f>MAX(0,G823/Control!$B$17)</x:f>
        <x:v>0.7015325549567718</x:v>
      </x:c>
      <x:c r="N823" s="73" t="n">
        <x:f>IF(N817&gt;0,N817,IF(G823&gt;=Control!$B$17,A823,0))</x:f>
        <x:v>0</x:v>
      </x:c>
      <x:c r="O823" s="91" t="n">
        <x:f>IF(N823&gt;0,Control!$B$17+Control!$B$8+1-N823,G823)-B823/100000</x:f>
        <x:v>470.02675182103707</x:v>
      </x:c>
      <x:c r="P823" s="73" t="n">
        <x:f>COUNTIF($O$818:$O$823,"&gt;"&amp;O823)+1</x:f>
        <x:v>1</x:v>
      </x:c>
      <x:c r="Q823" s="83" t="n">
        <x:f>MAX($G$818:$G$823)-G823</x:f>
        <x:v>0</x:v>
      </x:c>
      <x:c r="R823" s="73" t="str">
        <x:f>INDEX(TrackMap!$B$8:$B$141,H823)</x:f>
        <x:v>中央高速直道</x:v>
      </x:c>
    </x:row>
    <x:row r="824" ht="20" customHeight="1">
      <x:c r="A824" s="73" t="n">
        <x:v>136</x:v>
      </x:c>
      <x:c r="B824" s="73" t="n">
        <x:v>1</x:v>
      </x:c>
      <x:c r="C824" s="73" t="str">
        <x:f>INDEX(Drivers!$B$8:$B$13,B824)</x:f>
        <x:v>赤焰</x:v>
      </x:c>
      <x:c r="D824" s="83" t="n">
        <x:f>G818</x:f>
        <x:v>461.99375236518006</x:v>
      </x:c>
      <x:c r="E824" s="83" t="str">
        <x:f>IF(A824=0,"GRID",IF(D824&gt;=Control!$B$17,"FINISHED",IF(AND(A824&gt;=INDEX(Drivers!$G$8:$G$13,B824),A824&lt;INDEX(Drivers!$G$8:$G$13,B824)+INDEX(Drivers!$J$8:$J$13,B824)),"PIT",IF(MOD(A824+INDEX(Drivers!$F$8:$F$13,B824),Control!$B$11)&lt;Control!$B$13,"BOOST","RACE"))))</x:f>
        <x:v>RACE</x:v>
      </x:c>
      <x:c r="F824" s="83" t="n">
        <x:f>IF(OR(E824="GRID",E824="FINISHED",E824="PIT"),0,MAX(Control!$B$15,(INDEX(Drivers!$D$8:$D$13,B824)+INDEX(Drivers!$E$8:$E$13,B824)*SIN((A824+INDEX(Drivers!$F$8:$F$13,B824)+Control!$B$16)*Control!$B$14))*INDEX(TrackMap!$M$8:$M$141,MOD(INT(D824)-1,Control!$B$7)+1)*IF(E824="BOOST",Control!$B$12,1)))</x:f>
        <x:v>3.1732822341565825</x:v>
      </x:c>
      <x:c r="G824" s="83" t="n">
        <x:f>IF(A824=0,D824,MIN(Control!$B$17,D824+F824))</x:f>
        <x:v>465.16703459933666</x:v>
      </x:c>
      <x:c r="H824" s="73" t="n">
        <x:f>MOD(INT(G824)-1,Control!$B$7)+1</x:f>
        <x:v>63</x:v>
      </x:c>
      <x:c r="I824" s="73" t="n">
        <x:f>MIN(Control!$B$6,MAX(1,INT(MAX(0,G824)/Control!$B$7)+1))</x:f>
        <x:v>4</x:v>
      </x:c>
      <x:c r="J824" s="73" t="n">
        <x:f>INDEX(Drivers!$H$8:$H$13,B824)</x:f>
        <x:v>1</x:v>
      </x:c>
      <x:c r="K824" s="73" t="n">
        <x:f>IF(J824=1,INDEX(TrackMap!$I$8:$I$141,H824),INDEX(TrackMap!$L$8:$L$141,H824))</x:f>
        <x:v>1636</x:v>
      </x:c>
      <x:c r="L824" s="73" t="str">
        <x:f>INDEX(TrackMap!$F$8:$F$141,H824)</x:f>
        <x:v>→</x:v>
      </x:c>
      <x:c r="M824" s="87" t="n">
        <x:f>MAX(0,G824/Control!$B$17)</x:f>
        <x:v>0.694279156118413</x:v>
      </x:c>
      <x:c r="N824" s="73" t="n">
        <x:f>IF(N818&gt;0,N818,IF(G824&gt;=Control!$B$17,A824,0))</x:f>
        <x:v>0</x:v>
      </x:c>
      <x:c r="O824" s="91" t="n">
        <x:f>IF(N824&gt;0,Control!$B$17+Control!$B$8+1-N824,G824)-B824/100000</x:f>
        <x:v>465.1670245993367</x:v>
      </x:c>
      <x:c r="P824" s="73" t="n">
        <x:f>COUNTIF($O$824:$O$829,"&gt;"&amp;O824)+1</x:f>
        <x:v>2</x:v>
      </x:c>
      <x:c r="Q824" s="83" t="n">
        <x:f>MAX($G$824:$G$829)-G824</x:f>
        <x:v>8.611759670902813</x:v>
      </x:c>
      <x:c r="R824" s="73" t="str">
        <x:f>INDEX(TrackMap!$B$8:$B$141,H824)</x:f>
        <x:v>中央高速直道</x:v>
      </x:c>
    </x:row>
    <x:row r="825" ht="20" customHeight="1">
      <x:c r="A825" s="73" t="n">
        <x:v>136</x:v>
      </x:c>
      <x:c r="B825" s="73" t="n">
        <x:v>2</x:v>
      </x:c>
      <x:c r="C825" s="73" t="str">
        <x:f>INDEX(Drivers!$B$8:$B$13,B825)</x:f>
        <x:v>蓝电</x:v>
      </x:c>
      <x:c r="D825" s="83" t="n">
        <x:f>G819</x:f>
        <x:v>444.1478355856907</x:v>
      </x:c>
      <x:c r="E825" s="83" t="str">
        <x:f>IF(A825=0,"GRID",IF(D825&gt;=Control!$B$17,"FINISHED",IF(AND(A825&gt;=INDEX(Drivers!$G$8:$G$13,B825),A825&lt;INDEX(Drivers!$G$8:$G$13,B825)+INDEX(Drivers!$J$8:$J$13,B825)),"PIT",IF(MOD(A825+INDEX(Drivers!$F$8:$F$13,B825),Control!$B$11)&lt;Control!$B$13,"BOOST","RACE"))))</x:f>
        <x:v>RACE</x:v>
      </x:c>
      <x:c r="F825" s="83" t="n">
        <x:f>IF(OR(E825="GRID",E825="FINISHED",E825="PIT"),0,MAX(Control!$B$15,(INDEX(Drivers!$D$8:$D$13,B825)+INDEX(Drivers!$E$8:$E$13,B825)*SIN((A825+INDEX(Drivers!$F$8:$F$13,B825)+Control!$B$16)*Control!$B$14))*INDEX(TrackMap!$M$8:$M$141,MOD(INT(D825)-1,Control!$B$7)+1)*IF(E825="BOOST",Control!$B$12,1)))</x:f>
        <x:v>3.2601968716480862</x:v>
      </x:c>
      <x:c r="G825" s="83" t="n">
        <x:f>IF(A825=0,D825,MIN(Control!$B$17,D825+F825))</x:f>
        <x:v>447.4080324573388</x:v>
      </x:c>
      <x:c r="H825" s="73" t="n">
        <x:f>MOD(INT(G825)-1,Control!$B$7)+1</x:f>
        <x:v>45</x:v>
      </x:c>
      <x:c r="I825" s="73" t="n">
        <x:f>MIN(Control!$B$6,MAX(1,INT(MAX(0,G825)/Control!$B$7)+1))</x:f>
        <x:v>4</x:v>
      </x:c>
      <x:c r="J825" s="73" t="n">
        <x:f>INDEX(Drivers!$H$8:$H$13,B825)</x:f>
        <x:v>2</x:v>
      </x:c>
      <x:c r="K825" s="73" t="n">
        <x:f>IF(J825=1,INDEX(TrackMap!$I$8:$I$141,H825),INDEX(TrackMap!$L$8:$L$141,H825))</x:f>
        <x:v>1220</x:v>
      </x:c>
      <x:c r="L825" s="73" t="str">
        <x:f>INDEX(TrackMap!$F$8:$F$141,H825)</x:f>
        <x:v>↓</x:v>
      </x:c>
      <x:c r="M825" s="87" t="n">
        <x:f>MAX(0,G825/Control!$B$17)</x:f>
        <x:v>0.6677731827721475</x:v>
      </x:c>
      <x:c r="N825" s="73" t="n">
        <x:f>IF(N819&gt;0,N819,IF(G825&gt;=Control!$B$17,A825,0))</x:f>
        <x:v>0</x:v>
      </x:c>
      <x:c r="O825" s="91" t="n">
        <x:f>IF(N825&gt;0,Control!$B$17+Control!$B$8+1-N825,G825)-B825/100000</x:f>
        <x:v>447.40801245733877</x:v>
      </x:c>
      <x:c r="P825" s="73" t="n">
        <x:f>COUNTIF($O$824:$O$829,"&gt;"&amp;O825)+1</x:f>
        <x:v>6</x:v>
      </x:c>
      <x:c r="Q825" s="83" t="n">
        <x:f>MAX($G$824:$G$829)-G825</x:f>
        <x:v>26.370761812900696</x:v>
      </x:c>
      <x:c r="R825" s="73" t="str">
        <x:f>INDEX(TrackMap!$B$8:$B$141,H825)</x:f>
        <x:v>中段下行弯</x:v>
      </x:c>
    </x:row>
    <x:row r="826" ht="20" customHeight="1">
      <x:c r="A826" s="73" t="n">
        <x:v>136</x:v>
      </x:c>
      <x:c r="B826" s="73" t="n">
        <x:v>3</x:v>
      </x:c>
      <x:c r="C826" s="73" t="str">
        <x:f>INDEX(Drivers!$B$8:$B$13,B826)</x:f>
        <x:v>金翼</x:v>
      </x:c>
      <x:c r="D826" s="83" t="n">
        <x:f>G820</x:f>
        <x:v>455.77969834972754</x:v>
      </x:c>
      <x:c r="E826" s="83" t="str">
        <x:f>IF(A826=0,"GRID",IF(D826&gt;=Control!$B$17,"FINISHED",IF(AND(A826&gt;=INDEX(Drivers!$G$8:$G$13,B826),A826&lt;INDEX(Drivers!$G$8:$G$13,B826)+INDEX(Drivers!$J$8:$J$13,B826)),"PIT",IF(MOD(A826+INDEX(Drivers!$F$8:$F$13,B826),Control!$B$11)&lt;Control!$B$13,"BOOST","RACE"))))</x:f>
        <x:v>RACE</x:v>
      </x:c>
      <x:c r="F826" s="83" t="n">
        <x:f>IF(OR(E826="GRID",E826="FINISHED",E826="PIT"),0,MAX(Control!$B$15,(INDEX(Drivers!$D$8:$D$13,B826)+INDEX(Drivers!$E$8:$E$13,B826)*SIN((A826+INDEX(Drivers!$F$8:$F$13,B826)+Control!$B$16)*Control!$B$14))*INDEX(TrackMap!$M$8:$M$141,MOD(INT(D826)-1,Control!$B$7)+1)*IF(E826="BOOST",Control!$B$12,1)))</x:f>
        <x:v>3.2820584692878514</x:v>
      </x:c>
      <x:c r="G826" s="83" t="n">
        <x:f>IF(A826=0,D826,MIN(Control!$B$17,D826+F826))</x:f>
        <x:v>459.0617568190154</x:v>
      </x:c>
      <x:c r="H826" s="73" t="n">
        <x:f>MOD(INT(G826)-1,Control!$B$7)+1</x:f>
        <x:v>57</x:v>
      </x:c>
      <x:c r="I826" s="73" t="n">
        <x:f>MIN(Control!$B$6,MAX(1,INT(MAX(0,G826)/Control!$B$7)+1))</x:f>
        <x:v>4</x:v>
      </x:c>
      <x:c r="J826" s="73" t="n">
        <x:f>INDEX(Drivers!$H$8:$H$13,B826)</x:f>
        <x:v>1</x:v>
      </x:c>
      <x:c r="K826" s="73" t="n">
        <x:f>IF(J826=1,INDEX(TrackMap!$I$8:$I$141,H826),INDEX(TrackMap!$L$8:$L$141,H826))</x:f>
        <x:v>1630</x:v>
      </x:c>
      <x:c r="L826" s="73" t="str">
        <x:f>INDEX(TrackMap!$F$8:$F$141,H826)</x:f>
        <x:v>→</x:v>
      </x:c>
      <x:c r="M826" s="87" t="n">
        <x:f>MAX(0,G826/Control!$B$17)</x:f>
        <x:v>0.685166801222411</x:v>
      </x:c>
      <x:c r="N826" s="73" t="n">
        <x:f>IF(N820&gt;0,N820,IF(G826&gt;=Control!$B$17,A826,0))</x:f>
        <x:v>0</x:v>
      </x:c>
      <x:c r="O826" s="91" t="n">
        <x:f>IF(N826&gt;0,Control!$B$17+Control!$B$8+1-N826,G826)-B826/100000</x:f>
        <x:v>459.0617268190154</x:v>
      </x:c>
      <x:c r="P826" s="73" t="n">
        <x:f>COUNTIF($O$824:$O$829,"&gt;"&amp;O826)+1</x:f>
        <x:v>4</x:v>
      </x:c>
      <x:c r="Q826" s="83" t="n">
        <x:f>MAX($G$824:$G$829)-G826</x:f>
        <x:v>14.717037451224087</x:v>
      </x:c>
      <x:c r="R826" s="73" t="str">
        <x:f>INDEX(TrackMap!$B$8:$B$141,H826)</x:f>
        <x:v>中央高速直道</x:v>
      </x:c>
    </x:row>
    <x:row r="827" ht="20" customHeight="1">
      <x:c r="A827" s="73" t="n">
        <x:v>136</x:v>
      </x:c>
      <x:c r="B827" s="73" t="n">
        <x:v>4</x:v>
      </x:c>
      <x:c r="C827" s="73" t="str">
        <x:f>INDEX(Drivers!$B$8:$B$13,B827)</x:f>
        <x:v>紫影</x:v>
      </x:c>
      <x:c r="D827" s="83" t="n">
        <x:f>G821</x:f>
        <x:v>450.2154405556493</x:v>
      </x:c>
      <x:c r="E827" s="83" t="str">
        <x:f>IF(A827=0,"GRID",IF(D827&gt;=Control!$B$17,"FINISHED",IF(AND(A827&gt;=INDEX(Drivers!$G$8:$G$13,B827),A827&lt;INDEX(Drivers!$G$8:$G$13,B827)+INDEX(Drivers!$J$8:$J$13,B827)),"PIT",IF(MOD(A827+INDEX(Drivers!$F$8:$F$13,B827),Control!$B$11)&lt;Control!$B$13,"BOOST","RACE"))))</x:f>
        <x:v>RACE</x:v>
      </x:c>
      <x:c r="F827" s="83" t="n">
        <x:f>IF(OR(E827="GRID",E827="FINISHED",E827="PIT"),0,MAX(Control!$B$15,(INDEX(Drivers!$D$8:$D$13,B827)+INDEX(Drivers!$E$8:$E$13,B827)*SIN((A827+INDEX(Drivers!$F$8:$F$13,B827)+Control!$B$16)*Control!$B$14))*INDEX(TrackMap!$M$8:$M$141,MOD(INT(D827)-1,Control!$B$7)+1)*IF(E827="BOOST",Control!$B$12,1)))</x:f>
        <x:v>3.846072055656439</x:v>
      </x:c>
      <x:c r="G827" s="83" t="n">
        <x:f>IF(A827=0,D827,MIN(Control!$B$17,D827+F827))</x:f>
        <x:v>454.0615126113058</x:v>
      </x:c>
      <x:c r="H827" s="73" t="n">
        <x:f>MOD(INT(G827)-1,Control!$B$7)+1</x:f>
        <x:v>52</x:v>
      </x:c>
      <x:c r="I827" s="73" t="n">
        <x:f>MIN(Control!$B$6,MAX(1,INT(MAX(0,G827)/Control!$B$7)+1))</x:f>
        <x:v>4</x:v>
      </x:c>
      <x:c r="J827" s="73" t="n">
        <x:f>INDEX(Drivers!$H$8:$H$13,B827)</x:f>
        <x:v>2</x:v>
      </x:c>
      <x:c r="K827" s="73" t="n">
        <x:f>IF(J827=1,INDEX(TrackMap!$I$8:$I$141,H827),INDEX(TrackMap!$L$8:$L$141,H827))</x:f>
        <x:v>1525</x:v>
      </x:c>
      <x:c r="L827" s="73" t="str">
        <x:f>INDEX(TrackMap!$F$8:$F$141,H827)</x:f>
        <x:v>→</x:v>
      </x:c>
      <x:c r="M827" s="87" t="n">
        <x:f>MAX(0,G827/Control!$B$17)</x:f>
        <x:v>0.677703750166128</x:v>
      </x:c>
      <x:c r="N827" s="73" t="n">
        <x:f>IF(N821&gt;0,N821,IF(G827&gt;=Control!$B$17,A827,0))</x:f>
        <x:v>0</x:v>
      </x:c>
      <x:c r="O827" s="91" t="n">
        <x:f>IF(N827&gt;0,Control!$B$17+Control!$B$8+1-N827,G827)-B827/100000</x:f>
        <x:v>454.06147261130576</x:v>
      </x:c>
      <x:c r="P827" s="73" t="n">
        <x:f>COUNTIF($O$824:$O$829,"&gt;"&amp;O827)+1</x:f>
        <x:v>5</x:v>
      </x:c>
      <x:c r="Q827" s="83" t="n">
        <x:f>MAX($G$824:$G$829)-G827</x:f>
        <x:v>19.7172816589337</x:v>
      </x:c>
      <x:c r="R827" s="73" t="str">
        <x:f>INDEX(TrackMap!$B$8:$B$141,H827)</x:f>
        <x:v>中央高速直道</x:v>
      </x:c>
    </x:row>
    <x:row r="828" ht="20" customHeight="1">
      <x:c r="A828" s="73" t="n">
        <x:v>136</x:v>
      </x:c>
      <x:c r="B828" s="73" t="n">
        <x:v>5</x:v>
      </x:c>
      <x:c r="C828" s="73" t="str">
        <x:f>INDEX(Drivers!$B$8:$B$13,B828)</x:f>
        <x:v>青锋</x:v>
      </x:c>
      <x:c r="D828" s="83" t="n">
        <x:f>G822</x:f>
        <x:v>462.5943373950182</x:v>
      </x:c>
      <x:c r="E828" s="83" t="str">
        <x:f>IF(A828=0,"GRID",IF(D828&gt;=Control!$B$17,"FINISHED",IF(AND(A828&gt;=INDEX(Drivers!$G$8:$G$13,B828),A828&lt;INDEX(Drivers!$G$8:$G$13,B828)+INDEX(Drivers!$J$8:$J$13,B828)),"PIT",IF(MOD(A828+INDEX(Drivers!$F$8:$F$13,B828),Control!$B$11)&lt;Control!$B$13,"BOOST","RACE"))))</x:f>
        <x:v>PIT</x:v>
      </x:c>
      <x:c r="F828" s="83" t="n">
        <x:f>IF(OR(E828="GRID",E828="FINISHED",E828="PIT"),0,MAX(Control!$B$15,(INDEX(Drivers!$D$8:$D$13,B828)+INDEX(Drivers!$E$8:$E$13,B828)*SIN((A828+INDEX(Drivers!$F$8:$F$13,B828)+Control!$B$16)*Control!$B$14))*INDEX(TrackMap!$M$8:$M$141,MOD(INT(D828)-1,Control!$B$7)+1)*IF(E828="BOOST",Control!$B$12,1)))</x:f>
        <x:v>0</x:v>
      </x:c>
      <x:c r="G828" s="83" t="n">
        <x:f>IF(A828=0,D828,MIN(Control!$B$17,D828+F828))</x:f>
        <x:v>462.5943373950182</x:v>
      </x:c>
      <x:c r="H828" s="73" t="n">
        <x:f>MOD(INT(G828)-1,Control!$B$7)+1</x:f>
        <x:v>60</x:v>
      </x:c>
      <x:c r="I828" s="73" t="n">
        <x:f>MIN(Control!$B$6,MAX(1,INT(MAX(0,G828)/Control!$B$7)+1))</x:f>
        <x:v>4</x:v>
      </x:c>
      <x:c r="J828" s="73" t="n">
        <x:f>INDEX(Drivers!$H$8:$H$13,B828)</x:f>
        <x:v>1</x:v>
      </x:c>
      <x:c r="K828" s="73" t="n">
        <x:f>IF(J828=1,INDEX(TrackMap!$I$8:$I$141,H828),INDEX(TrackMap!$L$8:$L$141,H828))</x:f>
        <x:v>1633</x:v>
      </x:c>
      <x:c r="L828" s="73" t="str">
        <x:f>INDEX(TrackMap!$F$8:$F$141,H828)</x:f>
        <x:v>→</x:v>
      </x:c>
      <x:c r="M828" s="87" t="n">
        <x:f>MAX(0,G828/Control!$B$17)</x:f>
        <x:v>0.6904393095448033</x:v>
      </x:c>
      <x:c r="N828" s="73" t="n">
        <x:f>IF(N822&gt;0,N822,IF(G828&gt;=Control!$B$17,A828,0))</x:f>
        <x:v>0</x:v>
      </x:c>
      <x:c r="O828" s="91" t="n">
        <x:f>IF(N828&gt;0,Control!$B$17+Control!$B$8+1-N828,G828)-B828/100000</x:f>
        <x:v>462.5942873950182</x:v>
      </x:c>
      <x:c r="P828" s="73" t="n">
        <x:f>COUNTIF($O$824:$O$829,"&gt;"&amp;O828)+1</x:f>
        <x:v>3</x:v>
      </x:c>
      <x:c r="Q828" s="83" t="n">
        <x:f>MAX($G$824:$G$829)-G828</x:f>
        <x:v>11.184456875221258</x:v>
      </x:c>
      <x:c r="R828" s="73" t="str">
        <x:f>INDEX(TrackMap!$B$8:$B$141,H828)</x:f>
        <x:v>中央高速直道</x:v>
      </x:c>
    </x:row>
    <x:row r="829" ht="20" customHeight="1">
      <x:c r="A829" s="73" t="n">
        <x:v>136</x:v>
      </x:c>
      <x:c r="B829" s="73" t="n">
        <x:v>6</x:v>
      </x:c>
      <x:c r="C829" s="73" t="str">
        <x:f>INDEX(Drivers!$B$8:$B$13,B829)</x:f>
        <x:v>玫速</x:v>
      </x:c>
      <x:c r="D829" s="83" t="n">
        <x:f>G823</x:f>
        <x:v>470.0268118210371</x:v>
      </x:c>
      <x:c r="E829" s="83" t="str">
        <x:f>IF(A829=0,"GRID",IF(D829&gt;=Control!$B$17,"FINISHED",IF(AND(A829&gt;=INDEX(Drivers!$G$8:$G$13,B829),A829&lt;INDEX(Drivers!$G$8:$G$13,B829)+INDEX(Drivers!$J$8:$J$13,B829)),"PIT",IF(MOD(A829+INDEX(Drivers!$F$8:$F$13,B829),Control!$B$11)&lt;Control!$B$13,"BOOST","RACE"))))</x:f>
        <x:v>RACE</x:v>
      </x:c>
      <x:c r="F829" s="83" t="n">
        <x:f>IF(OR(E829="GRID",E829="FINISHED",E829="PIT"),0,MAX(Control!$B$15,(INDEX(Drivers!$D$8:$D$13,B829)+INDEX(Drivers!$E$8:$E$13,B829)*SIN((A829+INDEX(Drivers!$F$8:$F$13,B829)+Control!$B$16)*Control!$B$14))*INDEX(TrackMap!$M$8:$M$141,MOD(INT(D829)-1,Control!$B$7)+1)*IF(E829="BOOST",Control!$B$12,1)))</x:f>
        <x:v>3.7519824492023712</x:v>
      </x:c>
      <x:c r="G829" s="83" t="n">
        <x:f>IF(A829=0,D829,MIN(Control!$B$17,D829+F829))</x:f>
        <x:v>473.7787942702395</x:v>
      </x:c>
      <x:c r="H829" s="73" t="n">
        <x:f>MOD(INT(G829)-1,Control!$B$7)+1</x:f>
        <x:v>71</x:v>
      </x:c>
      <x:c r="I829" s="73" t="n">
        <x:f>MIN(Control!$B$6,MAX(1,INT(MAX(0,G829)/Control!$B$7)+1))</x:f>
        <x:v>4</x:v>
      </x:c>
      <x:c r="J829" s="73" t="n">
        <x:f>INDEX(Drivers!$H$8:$H$13,B829)</x:f>
        <x:v>2</x:v>
      </x:c>
      <x:c r="K829" s="73" t="n">
        <x:f>IF(J829=1,INDEX(TrackMap!$I$8:$I$141,H829),INDEX(TrackMap!$L$8:$L$141,H829))</x:f>
        <x:v>1544</x:v>
      </x:c>
      <x:c r="L829" s="73" t="str">
        <x:f>INDEX(TrackMap!$F$8:$F$141,H829)</x:f>
        <x:v>→</x:v>
      </x:c>
      <x:c r="M829" s="87" t="n">
        <x:f>MAX(0,G829/Control!$B$17)</x:f>
        <x:v>0.7071325287615514</x:v>
      </x:c>
      <x:c r="N829" s="73" t="n">
        <x:f>IF(N823&gt;0,N823,IF(G829&gt;=Control!$B$17,A829,0))</x:f>
        <x:v>0</x:v>
      </x:c>
      <x:c r="O829" s="91" t="n">
        <x:f>IF(N829&gt;0,Control!$B$17+Control!$B$8+1-N829,G829)-B829/100000</x:f>
        <x:v>473.77873427023945</x:v>
      </x:c>
      <x:c r="P829" s="73" t="n">
        <x:f>COUNTIF($O$824:$O$829,"&gt;"&amp;O829)+1</x:f>
        <x:v>1</x:v>
      </x:c>
      <x:c r="Q829" s="83" t="n">
        <x:f>MAX($G$824:$G$829)-G829</x:f>
        <x:v>0</x:v>
      </x:c>
      <x:c r="R829" s="73" t="str">
        <x:f>INDEX(TrackMap!$B$8:$B$141,H829)</x:f>
        <x:v>中央高速直道</x:v>
      </x:c>
    </x:row>
    <x:row r="830" ht="20" customHeight="1">
      <x:c r="A830" s="73" t="n">
        <x:v>137</x:v>
      </x:c>
      <x:c r="B830" s="73" t="n">
        <x:v>1</x:v>
      </x:c>
      <x:c r="C830" s="73" t="str">
        <x:f>INDEX(Drivers!$B$8:$B$13,B830)</x:f>
        <x:v>赤焰</x:v>
      </x:c>
      <x:c r="D830" s="83" t="n">
        <x:f>G824</x:f>
        <x:v>465.16703459933666</x:v>
      </x:c>
      <x:c r="E830" s="83" t="str">
        <x:f>IF(A830=0,"GRID",IF(D830&gt;=Control!$B$17,"FINISHED",IF(AND(A830&gt;=INDEX(Drivers!$G$8:$G$13,B830),A830&lt;INDEX(Drivers!$G$8:$G$13,B830)+INDEX(Drivers!$J$8:$J$13,B830)),"PIT",IF(MOD(A830+INDEX(Drivers!$F$8:$F$13,B830),Control!$B$11)&lt;Control!$B$13,"BOOST","RACE"))))</x:f>
        <x:v>RACE</x:v>
      </x:c>
      <x:c r="F830" s="83" t="n">
        <x:f>IF(OR(E830="GRID",E830="FINISHED",E830="PIT"),0,MAX(Control!$B$15,(INDEX(Drivers!$D$8:$D$13,B830)+INDEX(Drivers!$E$8:$E$13,B830)*SIN((A830+INDEX(Drivers!$F$8:$F$13,B830)+Control!$B$16)*Control!$B$14))*INDEX(TrackMap!$M$8:$M$141,MOD(INT(D830)-1,Control!$B$7)+1)*IF(E830="BOOST",Control!$B$12,1)))</x:f>
        <x:v>3.304733893964244</x:v>
      </x:c>
      <x:c r="G830" s="83" t="n">
        <x:f>IF(A830=0,D830,MIN(Control!$B$17,D830+F830))</x:f>
        <x:v>468.4717684933009</x:v>
      </x:c>
      <x:c r="H830" s="73" t="n">
        <x:f>MOD(INT(G830)-1,Control!$B$7)+1</x:f>
        <x:v>66</x:v>
      </x:c>
      <x:c r="I830" s="73" t="n">
        <x:f>MIN(Control!$B$6,MAX(1,INT(MAX(0,G830)/Control!$B$7)+1))</x:f>
        <x:v>4</x:v>
      </x:c>
      <x:c r="J830" s="73" t="n">
        <x:f>INDEX(Drivers!$H$8:$H$13,B830)</x:f>
        <x:v>1</x:v>
      </x:c>
      <x:c r="K830" s="73" t="n">
        <x:f>IF(J830=1,INDEX(TrackMap!$I$8:$I$141,H830),INDEX(TrackMap!$L$8:$L$141,H830))</x:f>
        <x:v>1639</x:v>
      </x:c>
      <x:c r="L830" s="73" t="str">
        <x:f>INDEX(TrackMap!$F$8:$F$141,H830)</x:f>
        <x:v>→</x:v>
      </x:c>
      <x:c r="M830" s="87" t="n">
        <x:f>MAX(0,G830/Control!$B$17)</x:f>
        <x:v>0.6992115947661207</x:v>
      </x:c>
      <x:c r="N830" s="73" t="n">
        <x:f>IF(N824&gt;0,N824,IF(G830&gt;=Control!$B$17,A830,0))</x:f>
        <x:v>0</x:v>
      </x:c>
      <x:c r="O830" s="91" t="n">
        <x:f>IF(N830&gt;0,Control!$B$17+Control!$B$8+1-N830,G830)-B830/100000</x:f>
        <x:v>468.4717584933009</x:v>
      </x:c>
      <x:c r="P830" s="73" t="n">
        <x:f>COUNTIF($O$830:$O$835,"&gt;"&amp;O830)+1</x:f>
        <x:v>2</x:v>
      </x:c>
      <x:c r="Q830" s="83" t="n">
        <x:f>MAX($G$830:$G$835)-G830</x:f>
        <x:v>8.061758814831705</x:v>
      </x:c>
      <x:c r="R830" s="73" t="str">
        <x:f>INDEX(TrackMap!$B$8:$B$141,H830)</x:f>
        <x:v>中央高速直道</x:v>
      </x:c>
    </x:row>
    <x:row r="831" ht="20" customHeight="1">
      <x:c r="A831" s="73" t="n">
        <x:v>137</x:v>
      </x:c>
      <x:c r="B831" s="73" t="n">
        <x:v>2</x:v>
      </x:c>
      <x:c r="C831" s="73" t="str">
        <x:f>INDEX(Drivers!$B$8:$B$13,B831)</x:f>
        <x:v>蓝电</x:v>
      </x:c>
      <x:c r="D831" s="83" t="n">
        <x:f>G825</x:f>
        <x:v>447.4080324573388</x:v>
      </x:c>
      <x:c r="E831" s="83" t="str">
        <x:f>IF(A831=0,"GRID",IF(D831&gt;=Control!$B$17,"FINISHED",IF(AND(A831&gt;=INDEX(Drivers!$G$8:$G$13,B831),A831&lt;INDEX(Drivers!$G$8:$G$13,B831)+INDEX(Drivers!$J$8:$J$13,B831)),"PIT",IF(MOD(A831+INDEX(Drivers!$F$8:$F$13,B831),Control!$B$11)&lt;Control!$B$13,"BOOST","RACE"))))</x:f>
        <x:v>RACE</x:v>
      </x:c>
      <x:c r="F831" s="83" t="n">
        <x:f>IF(OR(E831="GRID",E831="FINISHED",E831="PIT"),0,MAX(Control!$B$15,(INDEX(Drivers!$D$8:$D$13,B831)+INDEX(Drivers!$E$8:$E$13,B831)*SIN((A831+INDEX(Drivers!$F$8:$F$13,B831)+Control!$B$16)*Control!$B$14))*INDEX(TrackMap!$M$8:$M$141,MOD(INT(D831)-1,Control!$B$7)+1)*IF(E831="BOOST",Control!$B$12,1)))</x:f>
        <x:v>3.2335254798107016</x:v>
      </x:c>
      <x:c r="G831" s="83" t="n">
        <x:f>IF(A831=0,D831,MIN(Control!$B$17,D831+F831))</x:f>
        <x:v>450.64155793714946</x:v>
      </x:c>
      <x:c r="H831" s="73" t="n">
        <x:f>MOD(INT(G831)-1,Control!$B$7)+1</x:f>
        <x:v>48</x:v>
      </x:c>
      <x:c r="I831" s="73" t="n">
        <x:f>MIN(Control!$B$6,MAX(1,INT(MAX(0,G831)/Control!$B$7)+1))</x:f>
        <x:v>4</x:v>
      </x:c>
      <x:c r="J831" s="73" t="n">
        <x:f>INDEX(Drivers!$H$8:$H$13,B831)</x:f>
        <x:v>2</x:v>
      </x:c>
      <x:c r="K831" s="73" t="n">
        <x:f>IF(J831=1,INDEX(TrackMap!$I$8:$I$141,H831),INDEX(TrackMap!$L$8:$L$141,H831))</x:f>
        <x:v>1521</x:v>
      </x:c>
      <x:c r="L831" s="73" t="str">
        <x:f>INDEX(TrackMap!$F$8:$F$141,H831)</x:f>
        <x:v>→</x:v>
      </x:c>
      <x:c r="M831" s="87" t="n">
        <x:f>MAX(0,G831/Control!$B$17)</x:f>
        <x:v>0.6725993402047007</x:v>
      </x:c>
      <x:c r="N831" s="73" t="n">
        <x:f>IF(N825&gt;0,N825,IF(G831&gt;=Control!$B$17,A831,0))</x:f>
        <x:v>0</x:v>
      </x:c>
      <x:c r="O831" s="91" t="n">
        <x:f>IF(N831&gt;0,Control!$B$17+Control!$B$8+1-N831,G831)-B831/100000</x:f>
        <x:v>450.64153793714945</x:v>
      </x:c>
      <x:c r="P831" s="73" t="n">
        <x:f>COUNTIF($O$830:$O$835,"&gt;"&amp;O831)+1</x:f>
        <x:v>6</x:v>
      </x:c>
      <x:c r="Q831" s="83" t="n">
        <x:f>MAX($G$830:$G$835)-G831</x:f>
        <x:v>25.891969370983134</x:v>
      </x:c>
      <x:c r="R831" s="73" t="str">
        <x:f>INDEX(TrackMap!$B$8:$B$141,H831)</x:f>
        <x:v>中央高速直道</x:v>
      </x:c>
    </x:row>
    <x:row r="832" ht="20" customHeight="1">
      <x:c r="A832" s="73" t="n">
        <x:v>137</x:v>
      </x:c>
      <x:c r="B832" s="73" t="n">
        <x:v>3</x:v>
      </x:c>
      <x:c r="C832" s="73" t="str">
        <x:f>INDEX(Drivers!$B$8:$B$13,B832)</x:f>
        <x:v>金翼</x:v>
      </x:c>
      <x:c r="D832" s="83" t="n">
        <x:f>G826</x:f>
        <x:v>459.0617568190154</x:v>
      </x:c>
      <x:c r="E832" s="83" t="str">
        <x:f>IF(A832=0,"GRID",IF(D832&gt;=Control!$B$17,"FINISHED",IF(AND(A832&gt;=INDEX(Drivers!$G$8:$G$13,B832),A832&lt;INDEX(Drivers!$G$8:$G$13,B832)+INDEX(Drivers!$J$8:$J$13,B832)),"PIT",IF(MOD(A832+INDEX(Drivers!$F$8:$F$13,B832),Control!$B$11)&lt;Control!$B$13,"BOOST","RACE"))))</x:f>
        <x:v>RACE</x:v>
      </x:c>
      <x:c r="F832" s="83" t="n">
        <x:f>IF(OR(E832="GRID",E832="FINISHED",E832="PIT"),0,MAX(Control!$B$15,(INDEX(Drivers!$D$8:$D$13,B832)+INDEX(Drivers!$E$8:$E$13,B832)*SIN((A832+INDEX(Drivers!$F$8:$F$13,B832)+Control!$B$16)*Control!$B$14))*INDEX(TrackMap!$M$8:$M$141,MOD(INT(D832)-1,Control!$B$7)+1)*IF(E832="BOOST",Control!$B$12,1)))</x:f>
        <x:v>3.2110949601401586</x:v>
      </x:c>
      <x:c r="G832" s="83" t="n">
        <x:f>IF(A832=0,D832,MIN(Control!$B$17,D832+F832))</x:f>
        <x:v>462.27285177915553</x:v>
      </x:c>
      <x:c r="H832" s="73" t="n">
        <x:f>MOD(INT(G832)-1,Control!$B$7)+1</x:f>
        <x:v>60</x:v>
      </x:c>
      <x:c r="I832" s="73" t="n">
        <x:f>MIN(Control!$B$6,MAX(1,INT(MAX(0,G832)/Control!$B$7)+1))</x:f>
        <x:v>4</x:v>
      </x:c>
      <x:c r="J832" s="73" t="n">
        <x:f>INDEX(Drivers!$H$8:$H$13,B832)</x:f>
        <x:v>1</x:v>
      </x:c>
      <x:c r="K832" s="73" t="n">
        <x:f>IF(J832=1,INDEX(TrackMap!$I$8:$I$141,H832),INDEX(TrackMap!$L$8:$L$141,H832))</x:f>
        <x:v>1633</x:v>
      </x:c>
      <x:c r="L832" s="73" t="str">
        <x:f>INDEX(TrackMap!$F$8:$F$141,H832)</x:f>
        <x:v>→</x:v>
      </x:c>
      <x:c r="M832" s="87" t="n">
        <x:f>MAX(0,G832/Control!$B$17)</x:f>
        <x:v>0.6899594802673963</x:v>
      </x:c>
      <x:c r="N832" s="73" t="n">
        <x:f>IF(N826&gt;0,N826,IF(G832&gt;=Control!$B$17,A832,0))</x:f>
        <x:v>0</x:v>
      </x:c>
      <x:c r="O832" s="91" t="n">
        <x:f>IF(N832&gt;0,Control!$B$17+Control!$B$8+1-N832,G832)-B832/100000</x:f>
        <x:v>462.27282177915555</x:v>
      </x:c>
      <x:c r="P832" s="73" t="n">
        <x:f>COUNTIF($O$830:$O$835,"&gt;"&amp;O832)+1</x:f>
        <x:v>4</x:v>
      </x:c>
      <x:c r="Q832" s="83" t="n">
        <x:f>MAX($G$830:$G$835)-G832</x:f>
        <x:v>14.26067552897706</x:v>
      </x:c>
      <x:c r="R832" s="73" t="str">
        <x:f>INDEX(TrackMap!$B$8:$B$141,H832)</x:f>
        <x:v>中央高速直道</x:v>
      </x:c>
    </x:row>
    <x:row r="833" ht="20" customHeight="1">
      <x:c r="A833" s="73" t="n">
        <x:v>137</x:v>
      </x:c>
      <x:c r="B833" s="73" t="n">
        <x:v>4</x:v>
      </x:c>
      <x:c r="C833" s="73" t="str">
        <x:f>INDEX(Drivers!$B$8:$B$13,B833)</x:f>
        <x:v>紫影</x:v>
      </x:c>
      <x:c r="D833" s="83" t="n">
        <x:f>G827</x:f>
        <x:v>454.0615126113058</x:v>
      </x:c>
      <x:c r="E833" s="83" t="str">
        <x:f>IF(A833=0,"GRID",IF(D833&gt;=Control!$B$17,"FINISHED",IF(AND(A833&gt;=INDEX(Drivers!$G$8:$G$13,B833),A833&lt;INDEX(Drivers!$G$8:$G$13,B833)+INDEX(Drivers!$J$8:$J$13,B833)),"PIT",IF(MOD(A833+INDEX(Drivers!$F$8:$F$13,B833),Control!$B$11)&lt;Control!$B$13,"BOOST","RACE"))))</x:f>
        <x:v>RACE</x:v>
      </x:c>
      <x:c r="F833" s="83" t="n">
        <x:f>IF(OR(E833="GRID",E833="FINISHED",E833="PIT"),0,MAX(Control!$B$15,(INDEX(Drivers!$D$8:$D$13,B833)+INDEX(Drivers!$E$8:$E$13,B833)*SIN((A833+INDEX(Drivers!$F$8:$F$13,B833)+Control!$B$16)*Control!$B$14))*INDEX(TrackMap!$M$8:$M$141,MOD(INT(D833)-1,Control!$B$7)+1)*IF(E833="BOOST",Control!$B$12,1)))</x:f>
        <x:v>4.0193447800389706</x:v>
      </x:c>
      <x:c r="G833" s="83" t="n">
        <x:f>IF(A833=0,D833,MIN(Control!$B$17,D833+F833))</x:f>
        <x:v>458.08085739134475</x:v>
      </x:c>
      <x:c r="H833" s="73" t="n">
        <x:f>MOD(INT(G833)-1,Control!$B$7)+1</x:f>
        <x:v>56</x:v>
      </x:c>
      <x:c r="I833" s="73" t="n">
        <x:f>MIN(Control!$B$6,MAX(1,INT(MAX(0,G833)/Control!$B$7)+1))</x:f>
        <x:v>4</x:v>
      </x:c>
      <x:c r="J833" s="73" t="n">
        <x:f>INDEX(Drivers!$H$8:$H$13,B833)</x:f>
        <x:v>2</x:v>
      </x:c>
      <x:c r="K833" s="73" t="n">
        <x:f>IF(J833=1,INDEX(TrackMap!$I$8:$I$141,H833),INDEX(TrackMap!$L$8:$L$141,H833))</x:f>
        <x:v>1529</x:v>
      </x:c>
      <x:c r="L833" s="73" t="str">
        <x:f>INDEX(TrackMap!$F$8:$F$141,H833)</x:f>
        <x:v>→</x:v>
      </x:c>
      <x:c r="M833" s="87" t="n">
        <x:f>MAX(0,G833/Control!$B$17)</x:f>
        <x:v>0.6837027722258877</x:v>
      </x:c>
      <x:c r="N833" s="73" t="n">
        <x:f>IF(N827&gt;0,N827,IF(G833&gt;=Control!$B$17,A833,0))</x:f>
        <x:v>0</x:v>
      </x:c>
      <x:c r="O833" s="91" t="n">
        <x:f>IF(N833&gt;0,Control!$B$17+Control!$B$8+1-N833,G833)-B833/100000</x:f>
        <x:v>458.08081739134474</x:v>
      </x:c>
      <x:c r="P833" s="73" t="n">
        <x:f>COUNTIF($O$830:$O$835,"&gt;"&amp;O833)+1</x:f>
        <x:v>5</x:v>
      </x:c>
      <x:c r="Q833" s="83" t="n">
        <x:f>MAX($G$830:$G$835)-G833</x:f>
        <x:v>18.45266991678784</x:v>
      </x:c>
      <x:c r="R833" s="73" t="str">
        <x:f>INDEX(TrackMap!$B$8:$B$141,H833)</x:f>
        <x:v>中央高速直道</x:v>
      </x:c>
    </x:row>
    <x:row r="834" ht="20" customHeight="1">
      <x:c r="A834" s="73" t="n">
        <x:v>137</x:v>
      </x:c>
      <x:c r="B834" s="73" t="n">
        <x:v>5</x:v>
      </x:c>
      <x:c r="C834" s="73" t="str">
        <x:f>INDEX(Drivers!$B$8:$B$13,B834)</x:f>
        <x:v>青锋</x:v>
      </x:c>
      <x:c r="D834" s="83" t="n">
        <x:f>G828</x:f>
        <x:v>462.5943373950182</x:v>
      </x:c>
      <x:c r="E834" s="83" t="str">
        <x:f>IF(A834=0,"GRID",IF(D834&gt;=Control!$B$17,"FINISHED",IF(AND(A834&gt;=INDEX(Drivers!$G$8:$G$13,B834),A834&lt;INDEX(Drivers!$G$8:$G$13,B834)+INDEX(Drivers!$J$8:$J$13,B834)),"PIT",IF(MOD(A834+INDEX(Drivers!$F$8:$F$13,B834),Control!$B$11)&lt;Control!$B$13,"BOOST","RACE"))))</x:f>
        <x:v>PIT</x:v>
      </x:c>
      <x:c r="F834" s="83" t="n">
        <x:f>IF(OR(E834="GRID",E834="FINISHED",E834="PIT"),0,MAX(Control!$B$15,(INDEX(Drivers!$D$8:$D$13,B834)+INDEX(Drivers!$E$8:$E$13,B834)*SIN((A834+INDEX(Drivers!$F$8:$F$13,B834)+Control!$B$16)*Control!$B$14))*INDEX(TrackMap!$M$8:$M$141,MOD(INT(D834)-1,Control!$B$7)+1)*IF(E834="BOOST",Control!$B$12,1)))</x:f>
        <x:v>0</x:v>
      </x:c>
      <x:c r="G834" s="83" t="n">
        <x:f>IF(A834=0,D834,MIN(Control!$B$17,D834+F834))</x:f>
        <x:v>462.5943373950182</x:v>
      </x:c>
      <x:c r="H834" s="73" t="n">
        <x:f>MOD(INT(G834)-1,Control!$B$7)+1</x:f>
        <x:v>60</x:v>
      </x:c>
      <x:c r="I834" s="73" t="n">
        <x:f>MIN(Control!$B$6,MAX(1,INT(MAX(0,G834)/Control!$B$7)+1))</x:f>
        <x:v>4</x:v>
      </x:c>
      <x:c r="J834" s="73" t="n">
        <x:f>INDEX(Drivers!$H$8:$H$13,B834)</x:f>
        <x:v>1</x:v>
      </x:c>
      <x:c r="K834" s="73" t="n">
        <x:f>IF(J834=1,INDEX(TrackMap!$I$8:$I$141,H834),INDEX(TrackMap!$L$8:$L$141,H834))</x:f>
        <x:v>1633</x:v>
      </x:c>
      <x:c r="L834" s="73" t="str">
        <x:f>INDEX(TrackMap!$F$8:$F$141,H834)</x:f>
        <x:v>→</x:v>
      </x:c>
      <x:c r="M834" s="87" t="n">
        <x:f>MAX(0,G834/Control!$B$17)</x:f>
        <x:v>0.6904393095448033</x:v>
      </x:c>
      <x:c r="N834" s="73" t="n">
        <x:f>IF(N828&gt;0,N828,IF(G834&gt;=Control!$B$17,A834,0))</x:f>
        <x:v>0</x:v>
      </x:c>
      <x:c r="O834" s="91" t="n">
        <x:f>IF(N834&gt;0,Control!$B$17+Control!$B$8+1-N834,G834)-B834/100000</x:f>
        <x:v>462.5942873950182</x:v>
      </x:c>
      <x:c r="P834" s="73" t="n">
        <x:f>COUNTIF($O$830:$O$835,"&gt;"&amp;O834)+1</x:f>
        <x:v>3</x:v>
      </x:c>
      <x:c r="Q834" s="83" t="n">
        <x:f>MAX($G$830:$G$835)-G834</x:f>
        <x:v>13.939189913114376</x:v>
      </x:c>
      <x:c r="R834" s="73" t="str">
        <x:f>INDEX(TrackMap!$B$8:$B$141,H834)</x:f>
        <x:v>中央高速直道</x:v>
      </x:c>
    </x:row>
    <x:row r="835" ht="20" customHeight="1">
      <x:c r="A835" s="73" t="n">
        <x:v>137</x:v>
      </x:c>
      <x:c r="B835" s="73" t="n">
        <x:v>6</x:v>
      </x:c>
      <x:c r="C835" s="73" t="str">
        <x:f>INDEX(Drivers!$B$8:$B$13,B835)</x:f>
        <x:v>玫速</x:v>
      </x:c>
      <x:c r="D835" s="83" t="n">
        <x:f>G829</x:f>
        <x:v>473.7787942702395</x:v>
      </x:c>
      <x:c r="E835" s="83" t="str">
        <x:f>IF(A835=0,"GRID",IF(D835&gt;=Control!$B$17,"FINISHED",IF(AND(A835&gt;=INDEX(Drivers!$G$8:$G$13,B835),A835&lt;INDEX(Drivers!$G$8:$G$13,B835)+INDEX(Drivers!$J$8:$J$13,B835)),"PIT",IF(MOD(A835+INDEX(Drivers!$F$8:$F$13,B835),Control!$B$11)&lt;Control!$B$13,"BOOST","RACE"))))</x:f>
        <x:v>RACE</x:v>
      </x:c>
      <x:c r="F835" s="83" t="n">
        <x:f>IF(OR(E835="GRID",E835="FINISHED",E835="PIT"),0,MAX(Control!$B$15,(INDEX(Drivers!$D$8:$D$13,B835)+INDEX(Drivers!$E$8:$E$13,B835)*SIN((A835+INDEX(Drivers!$F$8:$F$13,B835)+Control!$B$16)*Control!$B$14))*INDEX(TrackMap!$M$8:$M$141,MOD(INT(D835)-1,Control!$B$7)+1)*IF(E835="BOOST",Control!$B$12,1)))</x:f>
        <x:v>2.7547330378931254</x:v>
      </x:c>
      <x:c r="G835" s="83" t="n">
        <x:f>IF(A835=0,D835,MIN(Control!$B$17,D835+F835))</x:f>
        <x:v>476.5335273081326</x:v>
      </x:c>
      <x:c r="H835" s="73" t="n">
        <x:f>MOD(INT(G835)-1,Control!$B$7)+1</x:f>
        <x:v>74</x:v>
      </x:c>
      <x:c r="I835" s="73" t="n">
        <x:f>MIN(Control!$B$6,MAX(1,INT(MAX(0,G835)/Control!$B$7)+1))</x:f>
        <x:v>4</x:v>
      </x:c>
      <x:c r="J835" s="73" t="n">
        <x:f>INDEX(Drivers!$H$8:$H$13,B835)</x:f>
        <x:v>2</x:v>
      </x:c>
      <x:c r="K835" s="73" t="n">
        <x:f>IF(J835=1,INDEX(TrackMap!$I$8:$I$141,H835),INDEX(TrackMap!$L$8:$L$141,H835))</x:f>
        <x:v>1245</x:v>
      </x:c>
      <x:c r="L835" s="73" t="str">
        <x:f>INDEX(TrackMap!$F$8:$F$141,H835)</x:f>
        <x:v>↑</x:v>
      </x:c>
      <x:c r="M835" s="87" t="n">
        <x:f>MAX(0,G835/Control!$B$17)</x:f>
        <x:v>0.7112440706091531</x:v>
      </x:c>
      <x:c r="N835" s="73" t="n">
        <x:f>IF(N829&gt;0,N829,IF(G835&gt;=Control!$B$17,A835,0))</x:f>
        <x:v>0</x:v>
      </x:c>
      <x:c r="O835" s="91" t="n">
        <x:f>IF(N835&gt;0,Control!$B$17+Control!$B$8+1-N835,G835)-B835/100000</x:f>
        <x:v>476.5334673081326</x:v>
      </x:c>
      <x:c r="P835" s="73" t="n">
        <x:f>COUNTIF($O$830:$O$835,"&gt;"&amp;O835)+1</x:f>
        <x:v>1</x:v>
      </x:c>
      <x:c r="Q835" s="83" t="n">
        <x:f>MAX($G$830:$G$835)-G835</x:f>
        <x:v>0</x:v>
      </x:c>
      <x:c r="R835" s="73" t="str">
        <x:f>INDEX(TrackMap!$B$8:$B$141,H835)</x:f>
        <x:v>东侧上行弯</x:v>
      </x:c>
    </x:row>
    <x:row r="836" ht="20" customHeight="1">
      <x:c r="A836" s="73" t="n">
        <x:v>138</x:v>
      </x:c>
      <x:c r="B836" s="73" t="n">
        <x:v>1</x:v>
      </x:c>
      <x:c r="C836" s="73" t="str">
        <x:f>INDEX(Drivers!$B$8:$B$13,B836)</x:f>
        <x:v>赤焰</x:v>
      </x:c>
      <x:c r="D836" s="83" t="n">
        <x:f>G830</x:f>
        <x:v>468.4717684933009</x:v>
      </x:c>
      <x:c r="E836" s="83" t="str">
        <x:f>IF(A836=0,"GRID",IF(D836&gt;=Control!$B$17,"FINISHED",IF(AND(A836&gt;=INDEX(Drivers!$G$8:$G$13,B836),A836&lt;INDEX(Drivers!$G$8:$G$13,B836)+INDEX(Drivers!$J$8:$J$13,B836)),"PIT",IF(MOD(A836+INDEX(Drivers!$F$8:$F$13,B836),Control!$B$11)&lt;Control!$B$13,"BOOST","RACE"))))</x:f>
        <x:v>RACE</x:v>
      </x:c>
      <x:c r="F836" s="83" t="n">
        <x:f>IF(OR(E836="GRID",E836="FINISHED",E836="PIT"),0,MAX(Control!$B$15,(INDEX(Drivers!$D$8:$D$13,B836)+INDEX(Drivers!$E$8:$E$13,B836)*SIN((A836+INDEX(Drivers!$F$8:$F$13,B836)+Control!$B$16)*Control!$B$14))*INDEX(TrackMap!$M$8:$M$141,MOD(INT(D836)-1,Control!$B$7)+1)*IF(E836="BOOST",Control!$B$12,1)))</x:f>
        <x:v>3.4829157015073253</x:v>
      </x:c>
      <x:c r="G836" s="83" t="n">
        <x:f>IF(A836=0,D836,MIN(Control!$B$17,D836+F836))</x:f>
        <x:v>471.95468419480824</x:v>
      </x:c>
      <x:c r="H836" s="73" t="n">
        <x:f>MOD(INT(G836)-1,Control!$B$7)+1</x:f>
        <x:v>69</x:v>
      </x:c>
      <x:c r="I836" s="73" t="n">
        <x:f>MIN(Control!$B$6,MAX(1,INT(MAX(0,G836)/Control!$B$7)+1))</x:f>
        <x:v>4</x:v>
      </x:c>
      <x:c r="J836" s="73" t="n">
        <x:f>INDEX(Drivers!$H$8:$H$13,B836)</x:f>
        <x:v>1</x:v>
      </x:c>
      <x:c r="K836" s="73" t="n">
        <x:f>IF(J836=1,INDEX(TrackMap!$I$8:$I$141,H836),INDEX(TrackMap!$L$8:$L$141,H836))</x:f>
        <x:v>1642</x:v>
      </x:c>
      <x:c r="L836" s="73" t="str">
        <x:f>INDEX(TrackMap!$F$8:$F$141,H836)</x:f>
        <x:v>→</x:v>
      </x:c>
      <x:c r="M836" s="87" t="n">
        <x:f>MAX(0,G836/Control!$B$17)</x:f>
        <x:v>0.7044099764101616</x:v>
      </x:c>
      <x:c r="N836" s="73" t="n">
        <x:f>IF(N830&gt;0,N830,IF(G836&gt;=Control!$B$17,A836,0))</x:f>
        <x:v>0</x:v>
      </x:c>
      <x:c r="O836" s="91" t="n">
        <x:f>IF(N836&gt;0,Control!$B$17+Control!$B$8+1-N836,G836)-B836/100000</x:f>
        <x:v>471.95467419480826</x:v>
      </x:c>
      <x:c r="P836" s="73" t="n">
        <x:f>COUNTIF($O$836:$O$841,"&gt;"&amp;O836)+1</x:f>
        <x:v>2</x:v>
      </x:c>
      <x:c r="Q836" s="83" t="n">
        <x:f>MAX($G$836:$G$841)-G836</x:f>
        <x:v>7.17741785943565</x:v>
      </x:c>
      <x:c r="R836" s="73" t="str">
        <x:f>INDEX(TrackMap!$B$8:$B$141,H836)</x:f>
        <x:v>中央高速直道</x:v>
      </x:c>
    </x:row>
    <x:row r="837" ht="20" customHeight="1">
      <x:c r="A837" s="73" t="n">
        <x:v>138</x:v>
      </x:c>
      <x:c r="B837" s="73" t="n">
        <x:v>2</x:v>
      </x:c>
      <x:c r="C837" s="73" t="str">
        <x:f>INDEX(Drivers!$B$8:$B$13,B837)</x:f>
        <x:v>蓝电</x:v>
      </x:c>
      <x:c r="D837" s="83" t="n">
        <x:f>G831</x:f>
        <x:v>450.64155793714946</x:v>
      </x:c>
      <x:c r="E837" s="83" t="str">
        <x:f>IF(A837=0,"GRID",IF(D837&gt;=Control!$B$17,"FINISHED",IF(AND(A837&gt;=INDEX(Drivers!$G$8:$G$13,B837),A837&lt;INDEX(Drivers!$G$8:$G$13,B837)+INDEX(Drivers!$J$8:$J$13,B837)),"PIT",IF(MOD(A837+INDEX(Drivers!$F$8:$F$13,B837),Control!$B$11)&lt;Control!$B$13,"BOOST","RACE"))))</x:f>
        <x:v>RACE</x:v>
      </x:c>
      <x:c r="F837" s="83" t="n">
        <x:f>IF(OR(E837="GRID",E837="FINISHED",E837="PIT"),0,MAX(Control!$B$15,(INDEX(Drivers!$D$8:$D$13,B837)+INDEX(Drivers!$E$8:$E$13,B837)*SIN((A837+INDEX(Drivers!$F$8:$F$13,B837)+Control!$B$16)*Control!$B$14))*INDEX(TrackMap!$M$8:$M$141,MOD(INT(D837)-1,Control!$B$7)+1)*IF(E837="BOOST",Control!$B$12,1)))</x:f>
        <x:v>4.034807466274506</x:v>
      </x:c>
      <x:c r="G837" s="83" t="n">
        <x:f>IF(A837=0,D837,MIN(Control!$B$17,D837+F837))</x:f>
        <x:v>454.676365403424</x:v>
      </x:c>
      <x:c r="H837" s="73" t="n">
        <x:f>MOD(INT(G837)-1,Control!$B$7)+1</x:f>
        <x:v>52</x:v>
      </x:c>
      <x:c r="I837" s="73" t="n">
        <x:f>MIN(Control!$B$6,MAX(1,INT(MAX(0,G837)/Control!$B$7)+1))</x:f>
        <x:v>4</x:v>
      </x:c>
      <x:c r="J837" s="73" t="n">
        <x:f>INDEX(Drivers!$H$8:$H$13,B837)</x:f>
        <x:v>2</x:v>
      </x:c>
      <x:c r="K837" s="73" t="n">
        <x:f>IF(J837=1,INDEX(TrackMap!$I$8:$I$141,H837),INDEX(TrackMap!$L$8:$L$141,H837))</x:f>
        <x:v>1525</x:v>
      </x:c>
      <x:c r="L837" s="73" t="str">
        <x:f>INDEX(TrackMap!$F$8:$F$141,H837)</x:f>
        <x:v>→</x:v>
      </x:c>
      <x:c r="M837" s="87" t="n">
        <x:f>MAX(0,G837/Control!$B$17)</x:f>
        <x:v>0.6786214409006328</x:v>
      </x:c>
      <x:c r="N837" s="73" t="n">
        <x:f>IF(N831&gt;0,N831,IF(G837&gt;=Control!$B$17,A837,0))</x:f>
        <x:v>0</x:v>
      </x:c>
      <x:c r="O837" s="91" t="n">
        <x:f>IF(N837&gt;0,Control!$B$17+Control!$B$8+1-N837,G837)-B837/100000</x:f>
        <x:v>454.67634540342397</x:v>
      </x:c>
      <x:c r="P837" s="73" t="n">
        <x:f>COUNTIF($O$836:$O$841,"&gt;"&amp;O837)+1</x:f>
        <x:v>6</x:v>
      </x:c>
      <x:c r="Q837" s="83" t="n">
        <x:f>MAX($G$836:$G$841)-G837</x:f>
        <x:v>24.455736650819915</x:v>
      </x:c>
      <x:c r="R837" s="73" t="str">
        <x:f>INDEX(TrackMap!$B$8:$B$141,H837)</x:f>
        <x:v>中央高速直道</x:v>
      </x:c>
    </x:row>
    <x:row r="838" ht="20" customHeight="1">
      <x:c r="A838" s="73" t="n">
        <x:v>138</x:v>
      </x:c>
      <x:c r="B838" s="73" t="n">
        <x:v>3</x:v>
      </x:c>
      <x:c r="C838" s="73" t="str">
        <x:f>INDEX(Drivers!$B$8:$B$13,B838)</x:f>
        <x:v>金翼</x:v>
      </x:c>
      <x:c r="D838" s="83" t="n">
        <x:f>G832</x:f>
        <x:v>462.27285177915553</x:v>
      </x:c>
      <x:c r="E838" s="83" t="str">
        <x:f>IF(A838=0,"GRID",IF(D838&gt;=Control!$B$17,"FINISHED",IF(AND(A838&gt;=INDEX(Drivers!$G$8:$G$13,B838),A838&lt;INDEX(Drivers!$G$8:$G$13,B838)+INDEX(Drivers!$J$8:$J$13,B838)),"PIT",IF(MOD(A838+INDEX(Drivers!$F$8:$F$13,B838),Control!$B$11)&lt;Control!$B$13,"BOOST","RACE"))))</x:f>
        <x:v>BOOST</x:v>
      </x:c>
      <x:c r="F838" s="83" t="n">
        <x:f>IF(OR(E838="GRID",E838="FINISHED",E838="PIT"),0,MAX(Control!$B$15,(INDEX(Drivers!$D$8:$D$13,B838)+INDEX(Drivers!$E$8:$E$13,B838)*SIN((A838+INDEX(Drivers!$F$8:$F$13,B838)+Control!$B$16)*Control!$B$14))*INDEX(TrackMap!$M$8:$M$141,MOD(INT(D838)-1,Control!$B$7)+1)*IF(E838="BOOST",Control!$B$12,1)))</x:f>
        <x:v>4.328508313683367</x:v>
      </x:c>
      <x:c r="G838" s="83" t="n">
        <x:f>IF(A838=0,D838,MIN(Control!$B$17,D838+F838))</x:f>
        <x:v>466.6013600928389</x:v>
      </x:c>
      <x:c r="H838" s="73" t="n">
        <x:f>MOD(INT(G838)-1,Control!$B$7)+1</x:f>
        <x:v>64</x:v>
      </x:c>
      <x:c r="I838" s="73" t="n">
        <x:f>MIN(Control!$B$6,MAX(1,INT(MAX(0,G838)/Control!$B$7)+1))</x:f>
        <x:v>4</x:v>
      </x:c>
      <x:c r="J838" s="73" t="n">
        <x:f>INDEX(Drivers!$H$8:$H$13,B838)</x:f>
        <x:v>1</x:v>
      </x:c>
      <x:c r="K838" s="73" t="n">
        <x:f>IF(J838=1,INDEX(TrackMap!$I$8:$I$141,H838),INDEX(TrackMap!$L$8:$L$141,H838))</x:f>
        <x:v>1637</x:v>
      </x:c>
      <x:c r="L838" s="73" t="str">
        <x:f>INDEX(TrackMap!$F$8:$F$141,H838)</x:f>
        <x:v>→</x:v>
      </x:c>
      <x:c r="M838" s="87" t="n">
        <x:f>MAX(0,G838/Control!$B$17)</x:f>
        <x:v>0.696419940437073</x:v>
      </x:c>
      <x:c r="N838" s="73" t="n">
        <x:f>IF(N832&gt;0,N832,IF(G838&gt;=Control!$B$17,A838,0))</x:f>
        <x:v>0</x:v>
      </x:c>
      <x:c r="O838" s="91" t="n">
        <x:f>IF(N838&gt;0,Control!$B$17+Control!$B$8+1-N838,G838)-B838/100000</x:f>
        <x:v>466.6013300928389</x:v>
      </x:c>
      <x:c r="P838" s="73" t="n">
        <x:f>COUNTIF($O$836:$O$841,"&gt;"&amp;O838)+1</x:f>
        <x:v>4</x:v>
      </x:c>
      <x:c r="Q838" s="83" t="n">
        <x:f>MAX($G$836:$G$841)-G838</x:f>
        <x:v>12.530741961404999</x:v>
      </x:c>
      <x:c r="R838" s="73" t="str">
        <x:f>INDEX(TrackMap!$B$8:$B$141,H838)</x:f>
        <x:v>中央高速直道</x:v>
      </x:c>
    </x:row>
    <x:row r="839" ht="20" customHeight="1">
      <x:c r="A839" s="73" t="n">
        <x:v>138</x:v>
      </x:c>
      <x:c r="B839" s="73" t="n">
        <x:v>4</x:v>
      </x:c>
      <x:c r="C839" s="73" t="str">
        <x:f>INDEX(Drivers!$B$8:$B$13,B839)</x:f>
        <x:v>紫影</x:v>
      </x:c>
      <x:c r="D839" s="83" t="n">
        <x:f>G833</x:f>
        <x:v>458.08085739134475</x:v>
      </x:c>
      <x:c r="E839" s="83" t="str">
        <x:f>IF(A839=0,"GRID",IF(D839&gt;=Control!$B$17,"FINISHED",IF(AND(A839&gt;=INDEX(Drivers!$G$8:$G$13,B839),A839&lt;INDEX(Drivers!$G$8:$G$13,B839)+INDEX(Drivers!$J$8:$J$13,B839)),"PIT",IF(MOD(A839+INDEX(Drivers!$F$8:$F$13,B839),Control!$B$11)&lt;Control!$B$13,"BOOST","RACE"))))</x:f>
        <x:v>RACE</x:v>
      </x:c>
      <x:c r="F839" s="83" t="n">
        <x:f>IF(OR(E839="GRID",E839="FINISHED",E839="PIT"),0,MAX(Control!$B$15,(INDEX(Drivers!$D$8:$D$13,B839)+INDEX(Drivers!$E$8:$E$13,B839)*SIN((A839+INDEX(Drivers!$F$8:$F$13,B839)+Control!$B$16)*Control!$B$14))*INDEX(TrackMap!$M$8:$M$141,MOD(INT(D839)-1,Control!$B$7)+1)*IF(E839="BOOST",Control!$B$12,1)))</x:f>
        <x:v>4.135861155678519</x:v>
      </x:c>
      <x:c r="G839" s="83" t="n">
        <x:f>IF(A839=0,D839,MIN(Control!$B$17,D839+F839))</x:f>
        <x:v>462.2167185470233</x:v>
      </x:c>
      <x:c r="H839" s="73" t="n">
        <x:f>MOD(INT(G839)-1,Control!$B$7)+1</x:f>
        <x:v>60</x:v>
      </x:c>
      <x:c r="I839" s="73" t="n">
        <x:f>MIN(Control!$B$6,MAX(1,INT(MAX(0,G839)/Control!$B$7)+1))</x:f>
        <x:v>4</x:v>
      </x:c>
      <x:c r="J839" s="73" t="n">
        <x:f>INDEX(Drivers!$H$8:$H$13,B839)</x:f>
        <x:v>2</x:v>
      </x:c>
      <x:c r="K839" s="73" t="n">
        <x:f>IF(J839=1,INDEX(TrackMap!$I$8:$I$141,H839),INDEX(TrackMap!$L$8:$L$141,H839))</x:f>
        <x:v>1533</x:v>
      </x:c>
      <x:c r="L839" s="73" t="str">
        <x:f>INDEX(TrackMap!$F$8:$F$141,H839)</x:f>
        <x:v>→</x:v>
      </x:c>
      <x:c r="M839" s="87" t="n">
        <x:f>MAX(0,G839/Control!$B$17)</x:f>
        <x:v>0.6898756993239153</x:v>
      </x:c>
      <x:c r="N839" s="73" t="n">
        <x:f>IF(N833&gt;0,N833,IF(G839&gt;=Control!$B$17,A839,0))</x:f>
        <x:v>0</x:v>
      </x:c>
      <x:c r="O839" s="91" t="n">
        <x:f>IF(N839&gt;0,Control!$B$17+Control!$B$8+1-N839,G839)-B839/100000</x:f>
        <x:v>462.21667854702326</x:v>
      </x:c>
      <x:c r="P839" s="73" t="n">
        <x:f>COUNTIF($O$836:$O$841,"&gt;"&amp;O839)+1</x:f>
        <x:v>5</x:v>
      </x:c>
      <x:c r="Q839" s="83" t="n">
        <x:f>MAX($G$836:$G$841)-G839</x:f>
        <x:v>16.91538350722061</x:v>
      </x:c>
      <x:c r="R839" s="73" t="str">
        <x:f>INDEX(TrackMap!$B$8:$B$141,H839)</x:f>
        <x:v>中央高速直道</x:v>
      </x:c>
    </x:row>
    <x:row r="840" ht="20" customHeight="1">
      <x:c r="A840" s="73" t="n">
        <x:v>138</x:v>
      </x:c>
      <x:c r="B840" s="73" t="n">
        <x:v>5</x:v>
      </x:c>
      <x:c r="C840" s="73" t="str">
        <x:f>INDEX(Drivers!$B$8:$B$13,B840)</x:f>
        <x:v>青锋</x:v>
      </x:c>
      <x:c r="D840" s="83" t="n">
        <x:f>G834</x:f>
        <x:v>462.5943373950182</x:v>
      </x:c>
      <x:c r="E840" s="83" t="str">
        <x:f>IF(A840=0,"GRID",IF(D840&gt;=Control!$B$17,"FINISHED",IF(AND(A840&gt;=INDEX(Drivers!$G$8:$G$13,B840),A840&lt;INDEX(Drivers!$G$8:$G$13,B840)+INDEX(Drivers!$J$8:$J$13,B840)),"PIT",IF(MOD(A840+INDEX(Drivers!$F$8:$F$13,B840),Control!$B$11)&lt;Control!$B$13,"BOOST","RACE"))))</x:f>
        <x:v>RACE</x:v>
      </x:c>
      <x:c r="F840" s="83" t="n">
        <x:f>IF(OR(E840="GRID",E840="FINISHED",E840="PIT"),0,MAX(Control!$B$15,(INDEX(Drivers!$D$8:$D$13,B840)+INDEX(Drivers!$E$8:$E$13,B840)*SIN((A840+INDEX(Drivers!$F$8:$F$13,B840)+Control!$B$16)*Control!$B$14))*INDEX(TrackMap!$M$8:$M$141,MOD(INT(D840)-1,Control!$B$7)+1)*IF(E840="BOOST",Control!$B$12,1)))</x:f>
        <x:v>4.1090601682691466</x:v>
      </x:c>
      <x:c r="G840" s="83" t="n">
        <x:f>IF(A840=0,D840,MIN(Control!$B$17,D840+F840))</x:f>
        <x:v>466.70339756328735</x:v>
      </x:c>
      <x:c r="H840" s="73" t="n">
        <x:f>MOD(INT(G840)-1,Control!$B$7)+1</x:f>
        <x:v>64</x:v>
      </x:c>
      <x:c r="I840" s="73" t="n">
        <x:f>MIN(Control!$B$6,MAX(1,INT(MAX(0,G840)/Control!$B$7)+1))</x:f>
        <x:v>4</x:v>
      </x:c>
      <x:c r="J840" s="73" t="n">
        <x:f>INDEX(Drivers!$H$8:$H$13,B840)</x:f>
        <x:v>1</x:v>
      </x:c>
      <x:c r="K840" s="73" t="n">
        <x:f>IF(J840=1,INDEX(TrackMap!$I$8:$I$141,H840),INDEX(TrackMap!$L$8:$L$141,H840))</x:f>
        <x:v>1637</x:v>
      </x:c>
      <x:c r="L840" s="73" t="str">
        <x:f>INDEX(TrackMap!$F$8:$F$141,H840)</x:f>
        <x:v>→</x:v>
      </x:c>
      <x:c r="M840" s="87" t="n">
        <x:f>MAX(0,G840/Control!$B$17)</x:f>
        <x:v>0.6965722351690856</x:v>
      </x:c>
      <x:c r="N840" s="73" t="n">
        <x:f>IF(N834&gt;0,N834,IF(G840&gt;=Control!$B$17,A840,0))</x:f>
        <x:v>0</x:v>
      </x:c>
      <x:c r="O840" s="91" t="n">
        <x:f>IF(N840&gt;0,Control!$B$17+Control!$B$8+1-N840,G840)-B840/100000</x:f>
        <x:v>466.70334756328737</x:v>
      </x:c>
      <x:c r="P840" s="73" t="n">
        <x:f>COUNTIF($O$836:$O$841,"&gt;"&amp;O840)+1</x:f>
        <x:v>3</x:v>
      </x:c>
      <x:c r="Q840" s="83" t="n">
        <x:f>MAX($G$836:$G$841)-G840</x:f>
        <x:v>12.428704490956534</x:v>
      </x:c>
      <x:c r="R840" s="73" t="str">
        <x:f>INDEX(TrackMap!$B$8:$B$141,H840)</x:f>
        <x:v>中央高速直道</x:v>
      </x:c>
    </x:row>
    <x:row r="841" ht="20" customHeight="1">
      <x:c r="A841" s="73" t="n">
        <x:v>138</x:v>
      </x:c>
      <x:c r="B841" s="73" t="n">
        <x:v>6</x:v>
      </x:c>
      <x:c r="C841" s="73" t="str">
        <x:f>INDEX(Drivers!$B$8:$B$13,B841)</x:f>
        <x:v>玫速</x:v>
      </x:c>
      <x:c r="D841" s="83" t="n">
        <x:f>G835</x:f>
        <x:v>476.5335273081326</x:v>
      </x:c>
      <x:c r="E841" s="83" t="str">
        <x:f>IF(A841=0,"GRID",IF(D841&gt;=Control!$B$17,"FINISHED",IF(AND(A841&gt;=INDEX(Drivers!$G$8:$G$13,B841),A841&lt;INDEX(Drivers!$G$8:$G$13,B841)+INDEX(Drivers!$J$8:$J$13,B841)),"PIT",IF(MOD(A841+INDEX(Drivers!$F$8:$F$13,B841),Control!$B$11)&lt;Control!$B$13,"BOOST","RACE"))))</x:f>
        <x:v>RACE</x:v>
      </x:c>
      <x:c r="F841" s="83" t="n">
        <x:f>IF(OR(E841="GRID",E841="FINISHED",E841="PIT"),0,MAX(Control!$B$15,(INDEX(Drivers!$D$8:$D$13,B841)+INDEX(Drivers!$E$8:$E$13,B841)*SIN((A841+INDEX(Drivers!$F$8:$F$13,B841)+Control!$B$16)*Control!$B$14))*INDEX(TrackMap!$M$8:$M$141,MOD(INT(D841)-1,Control!$B$7)+1)*IF(E841="BOOST",Control!$B$12,1)))</x:f>
        <x:v>2.5985747461113147</x:v>
      </x:c>
      <x:c r="G841" s="83" t="n">
        <x:f>IF(A841=0,D841,MIN(Control!$B$17,D841+F841))</x:f>
        <x:v>479.1321020542439</x:v>
      </x:c>
      <x:c r="H841" s="73" t="n">
        <x:f>MOD(INT(G841)-1,Control!$B$7)+1</x:f>
        <x:v>77</x:v>
      </x:c>
      <x:c r="I841" s="73" t="n">
        <x:f>MIN(Control!$B$6,MAX(1,INT(MAX(0,G841)/Control!$B$7)+1))</x:f>
        <x:v>4</x:v>
      </x:c>
      <x:c r="J841" s="73" t="n">
        <x:f>INDEX(Drivers!$H$8:$H$13,B841)</x:f>
        <x:v>2</x:v>
      </x:c>
      <x:c r="K841" s="73" t="n">
        <x:f>IF(J841=1,INDEX(TrackMap!$I$8:$I$141,H841),INDEX(TrackMap!$L$8:$L$141,H841))</x:f>
        <x:v>946</x:v>
      </x:c>
      <x:c r="L841" s="73" t="str">
        <x:f>INDEX(TrackMap!$F$8:$F$141,H841)</x:f>
        <x:v>→</x:v>
      </x:c>
      <x:c r="M841" s="87" t="n">
        <x:f>MAX(0,G841/Control!$B$17)</x:f>
        <x:v>0.7151225403794685</x:v>
      </x:c>
      <x:c r="N841" s="73" t="n">
        <x:f>IF(N835&gt;0,N835,IF(G841&gt;=Control!$B$17,A841,0))</x:f>
        <x:v>0</x:v>
      </x:c>
      <x:c r="O841" s="91" t="n">
        <x:f>IF(N841&gt;0,Control!$B$17+Control!$B$8+1-N841,G841)-B841/100000</x:f>
        <x:v>479.13204205424387</x:v>
      </x:c>
      <x:c r="P841" s="73" t="n">
        <x:f>COUNTIF($O$836:$O$841,"&gt;"&amp;O841)+1</x:f>
        <x:v>1</x:v>
      </x:c>
      <x:c r="Q841" s="83" t="n">
        <x:f>MAX($G$836:$G$841)-G841</x:f>
        <x:v>0</x:v>
      </x:c>
      <x:c r="R841" s="73" t="str">
        <x:f>INDEX(TrackMap!$B$8:$B$141,H841)</x:f>
        <x:v>东侧发卡弯</x:v>
      </x:c>
    </x:row>
    <x:row r="842" ht="20" customHeight="1">
      <x:c r="A842" s="73" t="n">
        <x:v>139</x:v>
      </x:c>
      <x:c r="B842" s="73" t="n">
        <x:v>1</x:v>
      </x:c>
      <x:c r="C842" s="73" t="str">
        <x:f>INDEX(Drivers!$B$8:$B$13,B842)</x:f>
        <x:v>赤焰</x:v>
      </x:c>
      <x:c r="D842" s="83" t="n">
        <x:f>G836</x:f>
        <x:v>471.95468419480824</x:v>
      </x:c>
      <x:c r="E842" s="83" t="str">
        <x:f>IF(A842=0,"GRID",IF(D842&gt;=Control!$B$17,"FINISHED",IF(AND(A842&gt;=INDEX(Drivers!$G$8:$G$13,B842),A842&lt;INDEX(Drivers!$G$8:$G$13,B842)+INDEX(Drivers!$J$8:$J$13,B842)),"PIT",IF(MOD(A842+INDEX(Drivers!$F$8:$F$13,B842),Control!$B$11)&lt;Control!$B$13,"BOOST","RACE"))))</x:f>
        <x:v>RACE</x:v>
      </x:c>
      <x:c r="F842" s="83" t="n">
        <x:f>IF(OR(E842="GRID",E842="FINISHED",E842="PIT"),0,MAX(Control!$B$15,(INDEX(Drivers!$D$8:$D$13,B842)+INDEX(Drivers!$E$8:$E$13,B842)*SIN((A842+INDEX(Drivers!$F$8:$F$13,B842)+Control!$B$16)*Control!$B$14))*INDEX(TrackMap!$M$8:$M$141,MOD(INT(D842)-1,Control!$B$7)+1)*IF(E842="BOOST",Control!$B$12,1)))</x:f>
        <x:v>3.683711585023509</x:v>
      </x:c>
      <x:c r="G842" s="83" t="n">
        <x:f>IF(A842=0,D842,MIN(Control!$B$17,D842+F842))</x:f>
        <x:v>475.63839577983174</x:v>
      </x:c>
      <x:c r="H842" s="73" t="n">
        <x:f>MOD(INT(G842)-1,Control!$B$7)+1</x:f>
        <x:v>73</x:v>
      </x:c>
      <x:c r="I842" s="73" t="n">
        <x:f>MIN(Control!$B$6,MAX(1,INT(MAX(0,G842)/Control!$B$7)+1))</x:f>
        <x:v>4</x:v>
      </x:c>
      <x:c r="J842" s="73" t="n">
        <x:f>INDEX(Drivers!$H$8:$H$13,B842)</x:f>
        <x:v>1</x:v>
      </x:c>
      <x:c r="K842" s="73" t="n">
        <x:f>IF(J842=1,INDEX(TrackMap!$I$8:$I$141,H842),INDEX(TrackMap!$L$8:$L$141,H842))</x:f>
        <x:v>1346</x:v>
      </x:c>
      <x:c r="L842" s="73" t="str">
        <x:f>INDEX(TrackMap!$F$8:$F$141,H842)</x:f>
        <x:v>↑</x:v>
      </x:c>
      <x:c r="M842" s="87" t="n">
        <x:f>MAX(0,G842/Control!$B$17)</x:f>
        <x:v>0.7099080534027339</x:v>
      </x:c>
      <x:c r="N842" s="73" t="n">
        <x:f>IF(N836&gt;0,N836,IF(G842&gt;=Control!$B$17,A842,0))</x:f>
        <x:v>0</x:v>
      </x:c>
      <x:c r="O842" s="91" t="n">
        <x:f>IF(N842&gt;0,Control!$B$17+Control!$B$8+1-N842,G842)-B842/100000</x:f>
        <x:v>475.63838577983176</x:v>
      </x:c>
      <x:c r="P842" s="73" t="n">
        <x:f>COUNTIF($O$842:$O$847,"&gt;"&amp;O842)+1</x:f>
        <x:v>2</x:v>
      </x:c>
      <x:c r="Q842" s="83" t="n">
        <x:f>MAX($G$842:$G$847)-G842</x:f>
        <x:v>5.9729130016655745</x:v>
      </x:c>
      <x:c r="R842" s="73" t="str">
        <x:f>INDEX(TrackMap!$B$8:$B$141,H842)</x:f>
        <x:v>东侧上行弯</x:v>
      </x:c>
    </x:row>
    <x:row r="843" ht="20" customHeight="1">
      <x:c r="A843" s="73" t="n">
        <x:v>139</x:v>
      </x:c>
      <x:c r="B843" s="73" t="n">
        <x:v>2</x:v>
      </x:c>
      <x:c r="C843" s="73" t="str">
        <x:f>INDEX(Drivers!$B$8:$B$13,B843)</x:f>
        <x:v>蓝电</x:v>
      </x:c>
      <x:c r="D843" s="83" t="n">
        <x:f>G837</x:f>
        <x:v>454.676365403424</x:v>
      </x:c>
      <x:c r="E843" s="83" t="str">
        <x:f>IF(A843=0,"GRID",IF(D843&gt;=Control!$B$17,"FINISHED",IF(AND(A843&gt;=INDEX(Drivers!$G$8:$G$13,B843),A843&lt;INDEX(Drivers!$G$8:$G$13,B843)+INDEX(Drivers!$J$8:$J$13,B843)),"PIT",IF(MOD(A843+INDEX(Drivers!$F$8:$F$13,B843),Control!$B$11)&lt;Control!$B$13,"BOOST","RACE"))))</x:f>
        <x:v>RACE</x:v>
      </x:c>
      <x:c r="F843" s="83" t="n">
        <x:f>IF(OR(E843="GRID",E843="FINISHED",E843="PIT"),0,MAX(Control!$B$15,(INDEX(Drivers!$D$8:$D$13,B843)+INDEX(Drivers!$E$8:$E$13,B843)*SIN((A843+INDEX(Drivers!$F$8:$F$13,B843)+Control!$B$16)*Control!$B$14))*INDEX(TrackMap!$M$8:$M$141,MOD(INT(D843)-1,Control!$B$7)+1)*IF(E843="BOOST",Control!$B$12,1)))</x:f>
        <x:v>3.862513388650232</x:v>
      </x:c>
      <x:c r="G843" s="83" t="n">
        <x:f>IF(A843=0,D843,MIN(Control!$B$17,D843+F843))</x:f>
        <x:v>458.53887879207423</x:v>
      </x:c>
      <x:c r="H843" s="73" t="n">
        <x:f>MOD(INT(G843)-1,Control!$B$7)+1</x:f>
        <x:v>56</x:v>
      </x:c>
      <x:c r="I843" s="73" t="n">
        <x:f>MIN(Control!$B$6,MAX(1,INT(MAX(0,G843)/Control!$B$7)+1))</x:f>
        <x:v>4</x:v>
      </x:c>
      <x:c r="J843" s="73" t="n">
        <x:f>INDEX(Drivers!$H$8:$H$13,B843)</x:f>
        <x:v>2</x:v>
      </x:c>
      <x:c r="K843" s="73" t="n">
        <x:f>IF(J843=1,INDEX(TrackMap!$I$8:$I$141,H843),INDEX(TrackMap!$L$8:$L$141,H843))</x:f>
        <x:v>1529</x:v>
      </x:c>
      <x:c r="L843" s="73" t="str">
        <x:f>INDEX(TrackMap!$F$8:$F$141,H843)</x:f>
        <x:v>→</x:v>
      </x:c>
      <x:c r="M843" s="87" t="n">
        <x:f>MAX(0,G843/Control!$B$17)</x:f>
        <x:v>0.6843863862568272</x:v>
      </x:c>
      <x:c r="N843" s="73" t="n">
        <x:f>IF(N837&gt;0,N837,IF(G843&gt;=Control!$B$17,A843,0))</x:f>
        <x:v>0</x:v>
      </x:c>
      <x:c r="O843" s="91" t="n">
        <x:f>IF(N843&gt;0,Control!$B$17+Control!$B$8+1-N843,G843)-B843/100000</x:f>
        <x:v>458.5388587920742</x:v>
      </x:c>
      <x:c r="P843" s="73" t="n">
        <x:f>COUNTIF($O$842:$O$847,"&gt;"&amp;O843)+1</x:f>
        <x:v>6</x:v>
      </x:c>
      <x:c r="Q843" s="83" t="n">
        <x:f>MAX($G$842:$G$847)-G843</x:f>
        <x:v>23.072429989423085</x:v>
      </x:c>
      <x:c r="R843" s="73" t="str">
        <x:f>INDEX(TrackMap!$B$8:$B$141,H843)</x:f>
        <x:v>中央高速直道</x:v>
      </x:c>
    </x:row>
    <x:row r="844" ht="20" customHeight="1">
      <x:c r="A844" s="73" t="n">
        <x:v>139</x:v>
      </x:c>
      <x:c r="B844" s="73" t="n">
        <x:v>3</x:v>
      </x:c>
      <x:c r="C844" s="73" t="str">
        <x:f>INDEX(Drivers!$B$8:$B$13,B844)</x:f>
        <x:v>金翼</x:v>
      </x:c>
      <x:c r="D844" s="83" t="n">
        <x:f>G838</x:f>
        <x:v>466.6013600928389</x:v>
      </x:c>
      <x:c r="E844" s="83" t="str">
        <x:f>IF(A844=0,"GRID",IF(D844&gt;=Control!$B$17,"FINISHED",IF(AND(A844&gt;=INDEX(Drivers!$G$8:$G$13,B844),A844&lt;INDEX(Drivers!$G$8:$G$13,B844)+INDEX(Drivers!$J$8:$J$13,B844)),"PIT",IF(MOD(A844+INDEX(Drivers!$F$8:$F$13,B844),Control!$B$11)&lt;Control!$B$13,"BOOST","RACE"))))</x:f>
        <x:v>BOOST</x:v>
      </x:c>
      <x:c r="F844" s="83" t="n">
        <x:f>IF(OR(E844="GRID",E844="FINISHED",E844="PIT"),0,MAX(Control!$B$15,(INDEX(Drivers!$D$8:$D$13,B844)+INDEX(Drivers!$E$8:$E$13,B844)*SIN((A844+INDEX(Drivers!$F$8:$F$13,B844)+Control!$B$16)*Control!$B$14))*INDEX(TrackMap!$M$8:$M$141,MOD(INT(D844)-1,Control!$B$7)+1)*IF(E844="BOOST",Control!$B$12,1)))</x:f>
        <x:v>4.412244954266632</x:v>
      </x:c>
      <x:c r="G844" s="83" t="n">
        <x:f>IF(A844=0,D844,MIN(Control!$B$17,D844+F844))</x:f>
        <x:v>471.0136050471055</x:v>
      </x:c>
      <x:c r="H844" s="73" t="n">
        <x:f>MOD(INT(G844)-1,Control!$B$7)+1</x:f>
        <x:v>69</x:v>
      </x:c>
      <x:c r="I844" s="73" t="n">
        <x:f>MIN(Control!$B$6,MAX(1,INT(MAX(0,G844)/Control!$B$7)+1))</x:f>
        <x:v>4</x:v>
      </x:c>
      <x:c r="J844" s="73" t="n">
        <x:f>INDEX(Drivers!$H$8:$H$13,B844)</x:f>
        <x:v>1</x:v>
      </x:c>
      <x:c r="K844" s="73" t="n">
        <x:f>IF(J844=1,INDEX(TrackMap!$I$8:$I$141,H844),INDEX(TrackMap!$L$8:$L$141,H844))</x:f>
        <x:v>1642</x:v>
      </x:c>
      <x:c r="L844" s="73" t="str">
        <x:f>INDEX(TrackMap!$F$8:$F$141,H844)</x:f>
        <x:v>→</x:v>
      </x:c>
      <x:c r="M844" s="87" t="n">
        <x:f>MAX(0,G844/Control!$B$17)</x:f>
        <x:v>0.7030053806673217</x:v>
      </x:c>
      <x:c r="N844" s="73" t="n">
        <x:f>IF(N838&gt;0,N838,IF(G844&gt;=Control!$B$17,A844,0))</x:f>
        <x:v>0</x:v>
      </x:c>
      <x:c r="O844" s="91" t="n">
        <x:f>IF(N844&gt;0,Control!$B$17+Control!$B$8+1-N844,G844)-B844/100000</x:f>
        <x:v>471.0135750471055</x:v>
      </x:c>
      <x:c r="P844" s="73" t="n">
        <x:f>COUNTIF($O$842:$O$847,"&gt;"&amp;O844)+1</x:f>
        <x:v>3</x:v>
      </x:c>
      <x:c r="Q844" s="83" t="n">
        <x:f>MAX($G$842:$G$847)-G844</x:f>
        <x:v>10.597703734391814</x:v>
      </x:c>
      <x:c r="R844" s="73" t="str">
        <x:f>INDEX(TrackMap!$B$8:$B$141,H844)</x:f>
        <x:v>中央高速直道</x:v>
      </x:c>
    </x:row>
    <x:row r="845" ht="20" customHeight="1">
      <x:c r="A845" s="73" t="n">
        <x:v>139</x:v>
      </x:c>
      <x:c r="B845" s="73" t="n">
        <x:v>4</x:v>
      </x:c>
      <x:c r="C845" s="73" t="str">
        <x:f>INDEX(Drivers!$B$8:$B$13,B845)</x:f>
        <x:v>紫影</x:v>
      </x:c>
      <x:c r="D845" s="83" t="n">
        <x:f>G839</x:f>
        <x:v>462.2167185470233</x:v>
      </x:c>
      <x:c r="E845" s="83" t="str">
        <x:f>IF(A845=0,"GRID",IF(D845&gt;=Control!$B$17,"FINISHED",IF(AND(A845&gt;=INDEX(Drivers!$G$8:$G$13,B845),A845&lt;INDEX(Drivers!$G$8:$G$13,B845)+INDEX(Drivers!$J$8:$J$13,B845)),"PIT",IF(MOD(A845+INDEX(Drivers!$F$8:$F$13,B845),Control!$B$11)&lt;Control!$B$13,"BOOST","RACE"))))</x:f>
        <x:v>RACE</x:v>
      </x:c>
      <x:c r="F845" s="83" t="n">
        <x:f>IF(OR(E845="GRID",E845="FINISHED",E845="PIT"),0,MAX(Control!$B$15,(INDEX(Drivers!$D$8:$D$13,B845)+INDEX(Drivers!$E$8:$E$13,B845)*SIN((A845+INDEX(Drivers!$F$8:$F$13,B845)+Control!$B$16)*Control!$B$14))*INDEX(TrackMap!$M$8:$M$141,MOD(INT(D845)-1,Control!$B$7)+1)*IF(E845="BOOST",Control!$B$12,1)))</x:f>
        <x:v>4.179851237735299</x:v>
      </x:c>
      <x:c r="G845" s="83" t="n">
        <x:f>IF(A845=0,D845,MIN(Control!$B$17,D845+F845))</x:f>
        <x:v>466.3965697847586</x:v>
      </x:c>
      <x:c r="H845" s="73" t="n">
        <x:f>MOD(INT(G845)-1,Control!$B$7)+1</x:f>
        <x:v>64</x:v>
      </x:c>
      <x:c r="I845" s="73" t="n">
        <x:f>MIN(Control!$B$6,MAX(1,INT(MAX(0,G845)/Control!$B$7)+1))</x:f>
        <x:v>4</x:v>
      </x:c>
      <x:c r="J845" s="73" t="n">
        <x:f>INDEX(Drivers!$H$8:$H$13,B845)</x:f>
        <x:v>2</x:v>
      </x:c>
      <x:c r="K845" s="73" t="n">
        <x:f>IF(J845=1,INDEX(TrackMap!$I$8:$I$141,H845),INDEX(TrackMap!$L$8:$L$141,H845))</x:f>
        <x:v>1537</x:v>
      </x:c>
      <x:c r="L845" s="73" t="str">
        <x:f>INDEX(TrackMap!$F$8:$F$141,H845)</x:f>
        <x:v>→</x:v>
      </x:c>
      <x:c r="M845" s="87" t="n">
        <x:f>MAX(0,G845/Control!$B$17)</x:f>
        <x:v>0.6961142832608337</x:v>
      </x:c>
      <x:c r="N845" s="73" t="n">
        <x:f>IF(N839&gt;0,N839,IF(G845&gt;=Control!$B$17,A845,0))</x:f>
        <x:v>0</x:v>
      </x:c>
      <x:c r="O845" s="91" t="n">
        <x:f>IF(N845&gt;0,Control!$B$17+Control!$B$8+1-N845,G845)-B845/100000</x:f>
        <x:v>466.39652978475857</x:v>
      </x:c>
      <x:c r="P845" s="73" t="n">
        <x:f>COUNTIF($O$842:$O$847,"&gt;"&amp;O845)+1</x:f>
        <x:v>5</x:v>
      </x:c>
      <x:c r="Q845" s="83" t="n">
        <x:f>MAX($G$842:$G$847)-G845</x:f>
        <x:v>15.214738996738731</x:v>
      </x:c>
      <x:c r="R845" s="73" t="str">
        <x:f>INDEX(TrackMap!$B$8:$B$141,H845)</x:f>
        <x:v>中央高速直道</x:v>
      </x:c>
    </x:row>
    <x:row r="846" ht="20" customHeight="1">
      <x:c r="A846" s="73" t="n">
        <x:v>139</x:v>
      </x:c>
      <x:c r="B846" s="73" t="n">
        <x:v>5</x:v>
      </x:c>
      <x:c r="C846" s="73" t="str">
        <x:f>INDEX(Drivers!$B$8:$B$13,B846)</x:f>
        <x:v>青锋</x:v>
      </x:c>
      <x:c r="D846" s="83" t="n">
        <x:f>G840</x:f>
        <x:v>466.70339756328735</x:v>
      </x:c>
      <x:c r="E846" s="83" t="str">
        <x:f>IF(A846=0,"GRID",IF(D846&gt;=Control!$B$17,"FINISHED",IF(AND(A846&gt;=INDEX(Drivers!$G$8:$G$13,B846),A846&lt;INDEX(Drivers!$G$8:$G$13,B846)+INDEX(Drivers!$J$8:$J$13,B846)),"PIT",IF(MOD(A846+INDEX(Drivers!$F$8:$F$13,B846),Control!$B$11)&lt;Control!$B$13,"BOOST","RACE"))))</x:f>
        <x:v>RACE</x:v>
      </x:c>
      <x:c r="F846" s="83" t="n">
        <x:f>IF(OR(E846="GRID",E846="FINISHED",E846="PIT"),0,MAX(Control!$B$15,(INDEX(Drivers!$D$8:$D$13,B846)+INDEX(Drivers!$E$8:$E$13,B846)*SIN((A846+INDEX(Drivers!$F$8:$F$13,B846)+Control!$B$16)*Control!$B$14))*INDEX(TrackMap!$M$8:$M$141,MOD(INT(D846)-1,Control!$B$7)+1)*IF(E846="BOOST",Control!$B$12,1)))</x:f>
        <x:v>4.149774301831207</x:v>
      </x:c>
      <x:c r="G846" s="83" t="n">
        <x:f>IF(A846=0,D846,MIN(Control!$B$17,D846+F846))</x:f>
        <x:v>470.85317186511855</x:v>
      </x:c>
      <x:c r="H846" s="73" t="n">
        <x:f>MOD(INT(G846)-1,Control!$B$7)+1</x:f>
        <x:v>68</x:v>
      </x:c>
      <x:c r="I846" s="73" t="n">
        <x:f>MIN(Control!$B$6,MAX(1,INT(MAX(0,G846)/Control!$B$7)+1))</x:f>
        <x:v>4</x:v>
      </x:c>
      <x:c r="J846" s="73" t="n">
        <x:f>INDEX(Drivers!$H$8:$H$13,B846)</x:f>
        <x:v>1</x:v>
      </x:c>
      <x:c r="K846" s="73" t="n">
        <x:f>IF(J846=1,INDEX(TrackMap!$I$8:$I$141,H846),INDEX(TrackMap!$L$8:$L$141,H846))</x:f>
        <x:v>1641</x:v>
      </x:c>
      <x:c r="L846" s="73" t="str">
        <x:f>INDEX(TrackMap!$F$8:$F$141,H846)</x:f>
        <x:v>→</x:v>
      </x:c>
      <x:c r="M846" s="87" t="n">
        <x:f>MAX(0,G846/Control!$B$17)</x:f>
        <x:v>0.7027659281568933</x:v>
      </x:c>
      <x:c r="N846" s="73" t="n">
        <x:f>IF(N840&gt;0,N840,IF(G846&gt;=Control!$B$17,A846,0))</x:f>
        <x:v>0</x:v>
      </x:c>
      <x:c r="O846" s="91" t="n">
        <x:f>IF(N846&gt;0,Control!$B$17+Control!$B$8+1-N846,G846)-B846/100000</x:f>
        <x:v>470.85312186511857</x:v>
      </x:c>
      <x:c r="P846" s="73" t="n">
        <x:f>COUNTIF($O$842:$O$847,"&gt;"&amp;O846)+1</x:f>
        <x:v>4</x:v>
      </x:c>
      <x:c r="Q846" s="83" t="n">
        <x:f>MAX($G$842:$G$847)-G846</x:f>
        <x:v>10.75813691637876</x:v>
      </x:c>
      <x:c r="R846" s="73" t="str">
        <x:f>INDEX(TrackMap!$B$8:$B$141,H846)</x:f>
        <x:v>中央高速直道</x:v>
      </x:c>
    </x:row>
    <x:row r="847" ht="20" customHeight="1">
      <x:c r="A847" s="73" t="n">
        <x:v>139</x:v>
      </x:c>
      <x:c r="B847" s="73" t="n">
        <x:v>6</x:v>
      </x:c>
      <x:c r="C847" s="73" t="str">
        <x:f>INDEX(Drivers!$B$8:$B$13,B847)</x:f>
        <x:v>玫速</x:v>
      </x:c>
      <x:c r="D847" s="83" t="n">
        <x:f>G841</x:f>
        <x:v>479.1321020542439</x:v>
      </x:c>
      <x:c r="E847" s="83" t="str">
        <x:f>IF(A847=0,"GRID",IF(D847&gt;=Control!$B$17,"FINISHED",IF(AND(A847&gt;=INDEX(Drivers!$G$8:$G$13,B847),A847&lt;INDEX(Drivers!$G$8:$G$13,B847)+INDEX(Drivers!$J$8:$J$13,B847)),"PIT",IF(MOD(A847+INDEX(Drivers!$F$8:$F$13,B847),Control!$B$11)&lt;Control!$B$13,"BOOST","RACE"))))</x:f>
        <x:v>RACE</x:v>
      </x:c>
      <x:c r="F847" s="83" t="n">
        <x:f>IF(OR(E847="GRID",E847="FINISHED",E847="PIT"),0,MAX(Control!$B$15,(INDEX(Drivers!$D$8:$D$13,B847)+INDEX(Drivers!$E$8:$E$13,B847)*SIN((A847+INDEX(Drivers!$F$8:$F$13,B847)+Control!$B$16)*Control!$B$14))*INDEX(TrackMap!$M$8:$M$141,MOD(INT(D847)-1,Control!$B$7)+1)*IF(E847="BOOST",Control!$B$12,1)))</x:f>
        <x:v>2.479206727253429</x:v>
      </x:c>
      <x:c r="G847" s="83" t="n">
        <x:f>IF(A847=0,D847,MIN(Control!$B$17,D847+F847))</x:f>
        <x:v>481.6113087814973</x:v>
      </x:c>
      <x:c r="H847" s="73" t="n">
        <x:f>MOD(INT(G847)-1,Control!$B$7)+1</x:f>
        <x:v>79</x:v>
      </x:c>
      <x:c r="I847" s="73" t="n">
        <x:f>MIN(Control!$B$6,MAX(1,INT(MAX(0,G847)/Control!$B$7)+1))</x:f>
        <x:v>4</x:v>
      </x:c>
      <x:c r="J847" s="73" t="n">
        <x:f>INDEX(Drivers!$H$8:$H$13,B847)</x:f>
        <x:v>2</x:v>
      </x:c>
      <x:c r="K847" s="73" t="n">
        <x:f>IF(J847=1,INDEX(TrackMap!$I$8:$I$141,H847),INDEX(TrackMap!$L$8:$L$141,H847))</x:f>
        <x:v>948</x:v>
      </x:c>
      <x:c r="L847" s="73" t="str">
        <x:f>INDEX(TrackMap!$F$8:$F$141,H847)</x:f>
        <x:v>→</x:v>
      </x:c>
      <x:c r="M847" s="87" t="n">
        <x:f>MAX(0,G847/Control!$B$17)</x:f>
        <x:v>0.718822848927608</x:v>
      </x:c>
      <x:c r="N847" s="73" t="n">
        <x:f>IF(N841&gt;0,N841,IF(G847&gt;=Control!$B$17,A847,0))</x:f>
        <x:v>0</x:v>
      </x:c>
      <x:c r="O847" s="91" t="n">
        <x:f>IF(N847&gt;0,Control!$B$17+Control!$B$8+1-N847,G847)-B847/100000</x:f>
        <x:v>481.6112487814973</x:v>
      </x:c>
      <x:c r="P847" s="73" t="n">
        <x:f>COUNTIF($O$842:$O$847,"&gt;"&amp;O847)+1</x:f>
        <x:v>1</x:v>
      </x:c>
      <x:c r="Q847" s="83" t="n">
        <x:f>MAX($G$842:$G$847)-G847</x:f>
        <x:v>0</x:v>
      </x:c>
      <x:c r="R847" s="73" t="str">
        <x:f>INDEX(TrackMap!$B$8:$B$141,H847)</x:f>
        <x:v>东侧发卡弯</x:v>
      </x:c>
    </x:row>
    <x:row r="848" ht="20" customHeight="1">
      <x:c r="A848" s="73" t="n">
        <x:v>140</x:v>
      </x:c>
      <x:c r="B848" s="73" t="n">
        <x:v>1</x:v>
      </x:c>
      <x:c r="C848" s="73" t="str">
        <x:f>INDEX(Drivers!$B$8:$B$13,B848)</x:f>
        <x:v>赤焰</x:v>
      </x:c>
      <x:c r="D848" s="83" t="n">
        <x:f>G842</x:f>
        <x:v>475.63839577983174</x:v>
      </x:c>
      <x:c r="E848" s="83" t="str">
        <x:f>IF(A848=0,"GRID",IF(D848&gt;=Control!$B$17,"FINISHED",IF(AND(A848&gt;=INDEX(Drivers!$G$8:$G$13,B848),A848&lt;INDEX(Drivers!$G$8:$G$13,B848)+INDEX(Drivers!$J$8:$J$13,B848)),"PIT",IF(MOD(A848+INDEX(Drivers!$F$8:$F$13,B848),Control!$B$11)&lt;Control!$B$13,"BOOST","RACE"))))</x:f>
        <x:v>RACE</x:v>
      </x:c>
      <x:c r="F848" s="83" t="n">
        <x:f>IF(OR(E848="GRID",E848="FINISHED",E848="PIT"),0,MAX(Control!$B$15,(INDEX(Drivers!$D$8:$D$13,B848)+INDEX(Drivers!$E$8:$E$13,B848)*SIN((A848+INDEX(Drivers!$F$8:$F$13,B848)+Control!$B$16)*Control!$B$14))*INDEX(TrackMap!$M$8:$M$141,MOD(INT(D848)-1,Control!$B$7)+1)*IF(E848="BOOST",Control!$B$12,1)))</x:f>
        <x:v>3.0263569156508647</x:v>
      </x:c>
      <x:c r="G848" s="83" t="n">
        <x:f>IF(A848=0,D848,MIN(Control!$B$17,D848+F848))</x:f>
        <x:v>478.6647526954826</x:v>
      </x:c>
      <x:c r="H848" s="73" t="n">
        <x:f>MOD(INT(G848)-1,Control!$B$7)+1</x:f>
        <x:v>76</x:v>
      </x:c>
      <x:c r="I848" s="73" t="n">
        <x:f>MIN(Control!$B$6,MAX(1,INT(MAX(0,G848)/Control!$B$7)+1))</x:f>
        <x:v>4</x:v>
      </x:c>
      <x:c r="J848" s="73" t="n">
        <x:f>INDEX(Drivers!$H$8:$H$13,B848)</x:f>
        <x:v>1</x:v>
      </x:c>
      <x:c r="K848" s="73" t="n">
        <x:f>IF(J848=1,INDEX(TrackMap!$I$8:$I$141,H848),INDEX(TrackMap!$L$8:$L$141,H848))</x:f>
        <x:v>1046</x:v>
      </x:c>
      <x:c r="L848" s="73" t="str">
        <x:f>INDEX(TrackMap!$F$8:$F$141,H848)</x:f>
        <x:v>↑</x:v>
      </x:c>
      <x:c r="M848" s="87" t="n">
        <x:f>MAX(0,G848/Control!$B$17)</x:f>
        <x:v>0.7144250040231084</x:v>
      </x:c>
      <x:c r="N848" s="73" t="n">
        <x:f>IF(N842&gt;0,N842,IF(G848&gt;=Control!$B$17,A848,0))</x:f>
        <x:v>0</x:v>
      </x:c>
      <x:c r="O848" s="91" t="n">
        <x:f>IF(N848&gt;0,Control!$B$17+Control!$B$8+1-N848,G848)-B848/100000</x:f>
        <x:v>478.66474269548263</x:v>
      </x:c>
      <x:c r="P848" s="73" t="n">
        <x:f>COUNTIF($O$848:$O$853,"&gt;"&amp;O848)+1</x:f>
        <x:v>2</x:v>
      </x:c>
      <x:c r="Q848" s="83" t="n">
        <x:f>MAX($G$848:$G$853)-G848</x:f>
        <x:v>5.359340968705908</x:v>
      </x:c>
      <x:c r="R848" s="73" t="str">
        <x:f>INDEX(TrackMap!$B$8:$B$141,H848)</x:f>
        <x:v>东侧上行弯</x:v>
      </x:c>
    </x:row>
    <x:row r="849" ht="20" customHeight="1">
      <x:c r="A849" s="73" t="n">
        <x:v>140</x:v>
      </x:c>
      <x:c r="B849" s="73" t="n">
        <x:v>2</x:v>
      </x:c>
      <x:c r="C849" s="73" t="str">
        <x:f>INDEX(Drivers!$B$8:$B$13,B849)</x:f>
        <x:v>蓝电</x:v>
      </x:c>
      <x:c r="D849" s="83" t="n">
        <x:f>G843</x:f>
        <x:v>458.53887879207423</x:v>
      </x:c>
      <x:c r="E849" s="83" t="str">
        <x:f>IF(A849=0,"GRID",IF(D849&gt;=Control!$B$17,"FINISHED",IF(AND(A849&gt;=INDEX(Drivers!$G$8:$G$13,B849),A849&lt;INDEX(Drivers!$G$8:$G$13,B849)+INDEX(Drivers!$J$8:$J$13,B849)),"PIT",IF(MOD(A849+INDEX(Drivers!$F$8:$F$13,B849),Control!$B$11)&lt;Control!$B$13,"BOOST","RACE"))))</x:f>
        <x:v>RACE</x:v>
      </x:c>
      <x:c r="F849" s="83" t="n">
        <x:f>IF(OR(E849="GRID",E849="FINISHED",E849="PIT"),0,MAX(Control!$B$15,(INDEX(Drivers!$D$8:$D$13,B849)+INDEX(Drivers!$E$8:$E$13,B849)*SIN((A849+INDEX(Drivers!$F$8:$F$13,B849)+Control!$B$16)*Control!$B$14))*INDEX(TrackMap!$M$8:$M$141,MOD(INT(D849)-1,Control!$B$7)+1)*IF(E849="BOOST",Control!$B$12,1)))</x:f>
        <x:v>3.651982449202371</x:v>
      </x:c>
      <x:c r="G849" s="83" t="n">
        <x:f>IF(A849=0,D849,MIN(Control!$B$17,D849+F849))</x:f>
        <x:v>462.1908612412766</x:v>
      </x:c>
      <x:c r="H849" s="73" t="n">
        <x:f>MOD(INT(G849)-1,Control!$B$7)+1</x:f>
        <x:v>60</x:v>
      </x:c>
      <x:c r="I849" s="73" t="n">
        <x:f>MIN(Control!$B$6,MAX(1,INT(MAX(0,G849)/Control!$B$7)+1))</x:f>
        <x:v>4</x:v>
      </x:c>
      <x:c r="J849" s="73" t="n">
        <x:f>INDEX(Drivers!$H$8:$H$13,B849)</x:f>
        <x:v>2</x:v>
      </x:c>
      <x:c r="K849" s="73" t="n">
        <x:f>IF(J849=1,INDEX(TrackMap!$I$8:$I$141,H849),INDEX(TrackMap!$L$8:$L$141,H849))</x:f>
        <x:v>1533</x:v>
      </x:c>
      <x:c r="L849" s="73" t="str">
        <x:f>INDEX(TrackMap!$F$8:$F$141,H849)</x:f>
        <x:v>→</x:v>
      </x:c>
      <x:c r="M849" s="87" t="n">
        <x:f>MAX(0,G849/Control!$B$17)</x:f>
        <x:v>0.6898371063302636</x:v>
      </x:c>
      <x:c r="N849" s="73" t="n">
        <x:f>IF(N843&gt;0,N843,IF(G849&gt;=Control!$B$17,A849,0))</x:f>
        <x:v>0</x:v>
      </x:c>
      <x:c r="O849" s="91" t="n">
        <x:f>IF(N849&gt;0,Control!$B$17+Control!$B$8+1-N849,G849)-B849/100000</x:f>
        <x:v>462.1908412412766</x:v>
      </x:c>
      <x:c r="P849" s="73" t="n">
        <x:f>COUNTIF($O$848:$O$853,"&gt;"&amp;O849)+1</x:f>
        <x:v>6</x:v>
      </x:c>
      <x:c r="Q849" s="83" t="n">
        <x:f>MAX($G$848:$G$853)-G849</x:f>
        <x:v>21.83323242291192</x:v>
      </x:c>
      <x:c r="R849" s="73" t="str">
        <x:f>INDEX(TrackMap!$B$8:$B$141,H849)</x:f>
        <x:v>中央高速直道</x:v>
      </x:c>
    </x:row>
    <x:row r="850" ht="20" customHeight="1">
      <x:c r="A850" s="73" t="n">
        <x:v>140</x:v>
      </x:c>
      <x:c r="B850" s="73" t="n">
        <x:v>3</x:v>
      </x:c>
      <x:c r="C850" s="73" t="str">
        <x:f>INDEX(Drivers!$B$8:$B$13,B850)</x:f>
        <x:v>金翼</x:v>
      </x:c>
      <x:c r="D850" s="83" t="n">
        <x:f>G844</x:f>
        <x:v>471.0136050471055</x:v>
      </x:c>
      <x:c r="E850" s="83" t="str">
        <x:f>IF(A850=0,"GRID",IF(D850&gt;=Control!$B$17,"FINISHED",IF(AND(A850&gt;=INDEX(Drivers!$G$8:$G$13,B850),A850&lt;INDEX(Drivers!$G$8:$G$13,B850)+INDEX(Drivers!$J$8:$J$13,B850)),"PIT",IF(MOD(A850+INDEX(Drivers!$F$8:$F$13,B850),Control!$B$11)&lt;Control!$B$13,"BOOST","RACE"))))</x:f>
        <x:v>BOOST</x:v>
      </x:c>
      <x:c r="F850" s="83" t="n">
        <x:f>IF(OR(E850="GRID",E850="FINISHED",E850="PIT"),0,MAX(Control!$B$15,(INDEX(Drivers!$D$8:$D$13,B850)+INDEX(Drivers!$E$8:$E$13,B850)*SIN((A850+INDEX(Drivers!$F$8:$F$13,B850)+Control!$B$16)*Control!$B$14))*INDEX(TrackMap!$M$8:$M$141,MOD(INT(D850)-1,Control!$B$7)+1)*IF(E850="BOOST",Control!$B$12,1)))</x:f>
        <x:v>4.574854756462406</x:v>
      </x:c>
      <x:c r="G850" s="83" t="n">
        <x:f>IF(A850=0,D850,MIN(Control!$B$17,D850+F850))</x:f>
        <x:v>475.5884598035679</x:v>
      </x:c>
      <x:c r="H850" s="73" t="n">
        <x:f>MOD(INT(G850)-1,Control!$B$7)+1</x:f>
        <x:v>73</x:v>
      </x:c>
      <x:c r="I850" s="73" t="n">
        <x:f>MIN(Control!$B$6,MAX(1,INT(MAX(0,G850)/Control!$B$7)+1))</x:f>
        <x:v>4</x:v>
      </x:c>
      <x:c r="J850" s="73" t="n">
        <x:f>INDEX(Drivers!$H$8:$H$13,B850)</x:f>
        <x:v>1</x:v>
      </x:c>
      <x:c r="K850" s="73" t="n">
        <x:f>IF(J850=1,INDEX(TrackMap!$I$8:$I$141,H850),INDEX(TrackMap!$L$8:$L$141,H850))</x:f>
        <x:v>1346</x:v>
      </x:c>
      <x:c r="L850" s="73" t="str">
        <x:f>INDEX(TrackMap!$F$8:$F$141,H850)</x:f>
        <x:v>↑</x:v>
      </x:c>
      <x:c r="M850" s="87" t="n">
        <x:f>MAX(0,G850/Control!$B$17)</x:f>
        <x:v>0.7098335220948775</x:v>
      </x:c>
      <x:c r="N850" s="73" t="n">
        <x:f>IF(N844&gt;0,N844,IF(G850&gt;=Control!$B$17,A850,0))</x:f>
        <x:v>0</x:v>
      </x:c>
      <x:c r="O850" s="91" t="n">
        <x:f>IF(N850&gt;0,Control!$B$17+Control!$B$8+1-N850,G850)-B850/100000</x:f>
        <x:v>475.5884298035679</x:v>
      </x:c>
      <x:c r="P850" s="73" t="n">
        <x:f>COUNTIF($O$848:$O$853,"&gt;"&amp;O850)+1</x:f>
        <x:v>3</x:v>
      </x:c>
      <x:c r="Q850" s="83" t="n">
        <x:f>MAX($G$848:$G$853)-G850</x:f>
        <x:v>8.435633860620612</x:v>
      </x:c>
      <x:c r="R850" s="73" t="str">
        <x:f>INDEX(TrackMap!$B$8:$B$141,H850)</x:f>
        <x:v>东侧上行弯</x:v>
      </x:c>
    </x:row>
    <x:row r="851" ht="20" customHeight="1">
      <x:c r="A851" s="73" t="n">
        <x:v>140</x:v>
      </x:c>
      <x:c r="B851" s="73" t="n">
        <x:v>4</x:v>
      </x:c>
      <x:c r="C851" s="73" t="str">
        <x:f>INDEX(Drivers!$B$8:$B$13,B851)</x:f>
        <x:v>紫影</x:v>
      </x:c>
      <x:c r="D851" s="83" t="n">
        <x:f>G845</x:f>
        <x:v>466.3965697847586</x:v>
      </x:c>
      <x:c r="E851" s="83" t="str">
        <x:f>IF(A851=0,"GRID",IF(D851&gt;=Control!$B$17,"FINISHED",IF(AND(A851&gt;=INDEX(Drivers!$G$8:$G$13,B851),A851&lt;INDEX(Drivers!$G$8:$G$13,B851)+INDEX(Drivers!$J$8:$J$13,B851)),"PIT",IF(MOD(A851+INDEX(Drivers!$F$8:$F$13,B851),Control!$B$11)&lt;Control!$B$13,"BOOST","RACE"))))</x:f>
        <x:v>RACE</x:v>
      </x:c>
      <x:c r="F851" s="83" t="n">
        <x:f>IF(OR(E851="GRID",E851="FINISHED",E851="PIT"),0,MAX(Control!$B$15,(INDEX(Drivers!$D$8:$D$13,B851)+INDEX(Drivers!$E$8:$E$13,B851)*SIN((A851+INDEX(Drivers!$F$8:$F$13,B851)+Control!$B$16)*Control!$B$14))*INDEX(TrackMap!$M$8:$M$141,MOD(INT(D851)-1,Control!$B$7)+1)*IF(E851="BOOST",Control!$B$12,1)))</x:f>
        <x:v>4.145361174969732</x:v>
      </x:c>
      <x:c r="G851" s="83" t="n">
        <x:f>IF(A851=0,D851,MIN(Control!$B$17,D851+F851))</x:f>
        <x:v>470.5419309597283</x:v>
      </x:c>
      <x:c r="H851" s="73" t="n">
        <x:f>MOD(INT(G851)-1,Control!$B$7)+1</x:f>
        <x:v>68</x:v>
      </x:c>
      <x:c r="I851" s="73" t="n">
        <x:f>MIN(Control!$B$6,MAX(1,INT(MAX(0,G851)/Control!$B$7)+1))</x:f>
        <x:v>4</x:v>
      </x:c>
      <x:c r="J851" s="73" t="n">
        <x:f>INDEX(Drivers!$H$8:$H$13,B851)</x:f>
        <x:v>2</x:v>
      </x:c>
      <x:c r="K851" s="73" t="n">
        <x:f>IF(J851=1,INDEX(TrackMap!$I$8:$I$141,H851),INDEX(TrackMap!$L$8:$L$141,H851))</x:f>
        <x:v>1541</x:v>
      </x:c>
      <x:c r="L851" s="73" t="str">
        <x:f>INDEX(TrackMap!$F$8:$F$141,H851)</x:f>
        <x:v>→</x:v>
      </x:c>
      <x:c r="M851" s="87" t="n">
        <x:f>MAX(0,G851/Control!$B$17)</x:f>
        <x:v>0.7023013894921317</x:v>
      </x:c>
      <x:c r="N851" s="73" t="n">
        <x:f>IF(N845&gt;0,N845,IF(G851&gt;=Control!$B$17,A851,0))</x:f>
        <x:v>0</x:v>
      </x:c>
      <x:c r="O851" s="91" t="n">
        <x:f>IF(N851&gt;0,Control!$B$17+Control!$B$8+1-N851,G851)-B851/100000</x:f>
        <x:v>470.5418909597283</x:v>
      </x:c>
      <x:c r="P851" s="73" t="n">
        <x:f>COUNTIF($O$848:$O$853,"&gt;"&amp;O851)+1</x:f>
        <x:v>5</x:v>
      </x:c>
      <x:c r="Q851" s="83" t="n">
        <x:f>MAX($G$848:$G$853)-G851</x:f>
        <x:v>13.482162704460222</x:v>
      </x:c>
      <x:c r="R851" s="73" t="str">
        <x:f>INDEX(TrackMap!$B$8:$B$141,H851)</x:f>
        <x:v>中央高速直道</x:v>
      </x:c>
    </x:row>
    <x:row r="852" ht="20" customHeight="1">
      <x:c r="A852" s="73" t="n">
        <x:v>140</x:v>
      </x:c>
      <x:c r="B852" s="73" t="n">
        <x:v>5</x:v>
      </x:c>
      <x:c r="C852" s="73" t="str">
        <x:f>INDEX(Drivers!$B$8:$B$13,B852)</x:f>
        <x:v>青锋</x:v>
      </x:c>
      <x:c r="D852" s="83" t="n">
        <x:f>G846</x:f>
        <x:v>470.85317186511855</x:v>
      </x:c>
      <x:c r="E852" s="83" t="str">
        <x:f>IF(A852=0,"GRID",IF(D852&gt;=Control!$B$17,"FINISHED",IF(AND(A852&gt;=INDEX(Drivers!$G$8:$G$13,B852),A852&lt;INDEX(Drivers!$G$8:$G$13,B852)+INDEX(Drivers!$J$8:$J$13,B852)),"PIT",IF(MOD(A852+INDEX(Drivers!$F$8:$F$13,B852),Control!$B$11)&lt;Control!$B$13,"BOOST","RACE"))))</x:f>
        <x:v>RACE</x:v>
      </x:c>
      <x:c r="F852" s="83" t="n">
        <x:f>IF(OR(E852="GRID",E852="FINISHED",E852="PIT"),0,MAX(Control!$B$15,(INDEX(Drivers!$D$8:$D$13,B852)+INDEX(Drivers!$E$8:$E$13,B852)*SIN((A852+INDEX(Drivers!$F$8:$F$13,B852)+Control!$B$16)*Control!$B$14))*INDEX(TrackMap!$M$8:$M$141,MOD(INT(D852)-1,Control!$B$7)+1)*IF(E852="BOOST",Control!$B$12,1)))</x:f>
        <x:v>4.120139422011891</x:v>
      </x:c>
      <x:c r="G852" s="83" t="n">
        <x:f>IF(A852=0,D852,MIN(Control!$B$17,D852+F852))</x:f>
        <x:v>474.97331128713046</x:v>
      </x:c>
      <x:c r="H852" s="73" t="n">
        <x:f>MOD(INT(G852)-1,Control!$B$7)+1</x:f>
        <x:v>72</x:v>
      </x:c>
      <x:c r="I852" s="73" t="n">
        <x:f>MIN(Control!$B$6,MAX(1,INT(MAX(0,G852)/Control!$B$7)+1))</x:f>
        <x:v>4</x:v>
      </x:c>
      <x:c r="J852" s="73" t="n">
        <x:f>INDEX(Drivers!$H$8:$H$13,B852)</x:f>
        <x:v>1</x:v>
      </x:c>
      <x:c r="K852" s="73" t="n">
        <x:f>IF(J852=1,INDEX(TrackMap!$I$8:$I$141,H852),INDEX(TrackMap!$L$8:$L$141,H852))</x:f>
        <x:v>1446</x:v>
      </x:c>
      <x:c r="L852" s="73" t="str">
        <x:f>INDEX(TrackMap!$F$8:$F$141,H852)</x:f>
        <x:v>↑</x:v>
      </x:c>
      <x:c r="M852" s="87" t="n">
        <x:f>MAX(0,G852/Control!$B$17)</x:f>
        <x:v>0.7089153899807917</x:v>
      </x:c>
      <x:c r="N852" s="73" t="n">
        <x:f>IF(N846&gt;0,N846,IF(G852&gt;=Control!$B$17,A852,0))</x:f>
        <x:v>0</x:v>
      </x:c>
      <x:c r="O852" s="91" t="n">
        <x:f>IF(N852&gt;0,Control!$B$17+Control!$B$8+1-N852,G852)-B852/100000</x:f>
        <x:v>474.97326128713047</x:v>
      </x:c>
      <x:c r="P852" s="73" t="n">
        <x:f>COUNTIF($O$848:$O$853,"&gt;"&amp;O852)+1</x:f>
        <x:v>4</x:v>
      </x:c>
      <x:c r="Q852" s="83" t="n">
        <x:f>MAX($G$848:$G$853)-G852</x:f>
        <x:v>9.050782377058056</x:v>
      </x:c>
      <x:c r="R852" s="73" t="str">
        <x:f>INDEX(TrackMap!$B$8:$B$141,H852)</x:f>
        <x:v>东侧上行弯</x:v>
      </x:c>
    </x:row>
    <x:row r="853" ht="20" customHeight="1">
      <x:c r="A853" s="73" t="n">
        <x:v>140</x:v>
      </x:c>
      <x:c r="B853" s="73" t="n">
        <x:v>6</x:v>
      </x:c>
      <x:c r="C853" s="73" t="str">
        <x:f>INDEX(Drivers!$B$8:$B$13,B853)</x:f>
        <x:v>玫速</x:v>
      </x:c>
      <x:c r="D853" s="83" t="n">
        <x:f>G847</x:f>
        <x:v>481.6113087814973</x:v>
      </x:c>
      <x:c r="E853" s="83" t="str">
        <x:f>IF(A853=0,"GRID",IF(D853&gt;=Control!$B$17,"FINISHED",IF(AND(A853&gt;=INDEX(Drivers!$G$8:$G$13,B853),A853&lt;INDEX(Drivers!$G$8:$G$13,B853)+INDEX(Drivers!$J$8:$J$13,B853)),"PIT",IF(MOD(A853+INDEX(Drivers!$F$8:$F$13,B853),Control!$B$11)&lt;Control!$B$13,"BOOST","RACE"))))</x:f>
        <x:v>RACE</x:v>
      </x:c>
      <x:c r="F853" s="83" t="n">
        <x:f>IF(OR(E853="GRID",E853="FINISHED",E853="PIT"),0,MAX(Control!$B$15,(INDEX(Drivers!$D$8:$D$13,B853)+INDEX(Drivers!$E$8:$E$13,B853)*SIN((A853+INDEX(Drivers!$F$8:$F$13,B853)+Control!$B$16)*Control!$B$14))*INDEX(TrackMap!$M$8:$M$141,MOD(INT(D853)-1,Control!$B$7)+1)*IF(E853="BOOST",Control!$B$12,1)))</x:f>
        <x:v>2.412784882691188</x:v>
      </x:c>
      <x:c r="G853" s="83" t="n">
        <x:f>IF(A853=0,D853,MIN(Control!$B$17,D853+F853))</x:f>
        <x:v>484.0240936641885</x:v>
      </x:c>
      <x:c r="H853" s="73" t="n">
        <x:f>MOD(INT(G853)-1,Control!$B$7)+1</x:f>
        <x:v>82</x:v>
      </x:c>
      <x:c r="I853" s="73" t="n">
        <x:f>MIN(Control!$B$6,MAX(1,INT(MAX(0,G853)/Control!$B$7)+1))</x:f>
        <x:v>4</x:v>
      </x:c>
      <x:c r="J853" s="73" t="n">
        <x:f>INDEX(Drivers!$H$8:$H$13,B853)</x:f>
        <x:v>2</x:v>
      </x:c>
      <x:c r="K853" s="73" t="n">
        <x:f>IF(J853=1,INDEX(TrackMap!$I$8:$I$141,H853),INDEX(TrackMap!$L$8:$L$141,H853))</x:f>
        <x:v>1151</x:v>
      </x:c>
      <x:c r="L853" s="73" t="str">
        <x:f>INDEX(TrackMap!$F$8:$F$141,H853)</x:f>
        <x:v>↓</x:v>
      </x:c>
      <x:c r="M853" s="87" t="n">
        <x:f>MAX(0,G853/Control!$B$17)</x:f>
        <x:v>0.7224240203943112</x:v>
      </x:c>
      <x:c r="N853" s="73" t="n">
        <x:f>IF(N847&gt;0,N847,IF(G853&gt;=Control!$B$17,A853,0))</x:f>
        <x:v>0</x:v>
      </x:c>
      <x:c r="O853" s="91" t="n">
        <x:f>IF(N853&gt;0,Control!$B$17+Control!$B$8+1-N853,G853)-B853/100000</x:f>
        <x:v>484.0240336641885</x:v>
      </x:c>
      <x:c r="P853" s="73" t="n">
        <x:f>COUNTIF($O$848:$O$853,"&gt;"&amp;O853)+1</x:f>
        <x:v>1</x:v>
      </x:c>
      <x:c r="Q853" s="83" t="n">
        <x:f>MAX($G$848:$G$853)-G853</x:f>
        <x:v>0</x:v>
      </x:c>
      <x:c r="R853" s="73" t="str">
        <x:f>INDEX(TrackMap!$B$8:$B$141,H853)</x:f>
        <x:v>东侧长直道</x:v>
      </x:c>
    </x:row>
    <x:row r="854" ht="20" customHeight="1">
      <x:c r="A854" s="73" t="n">
        <x:v>141</x:v>
      </x:c>
      <x:c r="B854" s="73" t="n">
        <x:v>1</x:v>
      </x:c>
      <x:c r="C854" s="73" t="str">
        <x:f>INDEX(Drivers!$B$8:$B$13,B854)</x:f>
        <x:v>赤焰</x:v>
      </x:c>
      <x:c r="D854" s="83" t="n">
        <x:f>G848</x:f>
        <x:v>478.6647526954826</x:v>
      </x:c>
      <x:c r="E854" s="83" t="str">
        <x:f>IF(A854=0,"GRID",IF(D854&gt;=Control!$B$17,"FINISHED",IF(AND(A854&gt;=INDEX(Drivers!$G$8:$G$13,B854),A854&lt;INDEX(Drivers!$G$8:$G$13,B854)+INDEX(Drivers!$J$8:$J$13,B854)),"PIT",IF(MOD(A854+INDEX(Drivers!$F$8:$F$13,B854),Control!$B$11)&lt;Control!$B$13,"BOOST","RACE"))))</x:f>
        <x:v>RACE</x:v>
      </x:c>
      <x:c r="F854" s="83" t="n">
        <x:f>IF(OR(E854="GRID",E854="FINISHED",E854="PIT"),0,MAX(Control!$B$15,(INDEX(Drivers!$D$8:$D$13,B854)+INDEX(Drivers!$E$8:$E$13,B854)*SIN((A854+INDEX(Drivers!$F$8:$F$13,B854)+Control!$B$16)*Control!$B$14))*INDEX(TrackMap!$M$8:$M$141,MOD(INT(D854)-1,Control!$B$7)+1)*IF(E854="BOOST",Control!$B$12,1)))</x:f>
        <x:v>3.155143677851378</x:v>
      </x:c>
      <x:c r="G854" s="83" t="n">
        <x:f>IF(A854=0,D854,MIN(Control!$B$17,D854+F854))</x:f>
        <x:v>481.81989637333396</x:v>
      </x:c>
      <x:c r="H854" s="73" t="n">
        <x:f>MOD(INT(G854)-1,Control!$B$7)+1</x:f>
        <x:v>79</x:v>
      </x:c>
      <x:c r="I854" s="73" t="n">
        <x:f>MIN(Control!$B$6,MAX(1,INT(MAX(0,G854)/Control!$B$7)+1))</x:f>
        <x:v>4</x:v>
      </x:c>
      <x:c r="J854" s="73" t="n">
        <x:f>INDEX(Drivers!$H$8:$H$13,B854)</x:f>
        <x:v>1</x:v>
      </x:c>
      <x:c r="K854" s="73" t="n">
        <x:f>IF(J854=1,INDEX(TrackMap!$I$8:$I$141,H854),INDEX(TrackMap!$L$8:$L$141,H854))</x:f>
        <x:v>848</x:v>
      </x:c>
      <x:c r="L854" s="73" t="str">
        <x:f>INDEX(TrackMap!$F$8:$F$141,H854)</x:f>
        <x:v>→</x:v>
      </x:c>
      <x:c r="M854" s="87" t="n">
        <x:f>MAX(0,G854/Control!$B$17)</x:f>
        <x:v>0.7191341736915432</x:v>
      </x:c>
      <x:c r="N854" s="73" t="n">
        <x:f>IF(N848&gt;0,N848,IF(G854&gt;=Control!$B$17,A854,0))</x:f>
        <x:v>0</x:v>
      </x:c>
      <x:c r="O854" s="91" t="n">
        <x:f>IF(N854&gt;0,Control!$B$17+Control!$B$8+1-N854,G854)-B854/100000</x:f>
        <x:v>481.819886373334</x:v>
      </x:c>
      <x:c r="P854" s="73" t="n">
        <x:f>COUNTIF($O$854:$O$859,"&gt;"&amp;O854)+1</x:f>
        <x:v>2</x:v>
      </x:c>
      <x:c r="Q854" s="83" t="n">
        <x:f>MAX($G$854:$G$859)-G854</x:f>
        <x:v>5.455401072462166</x:v>
      </x:c>
      <x:c r="R854" s="73" t="str">
        <x:f>INDEX(TrackMap!$B$8:$B$141,H854)</x:f>
        <x:v>东侧发卡弯</x:v>
      </x:c>
    </x:row>
    <x:row r="855" ht="20" customHeight="1">
      <x:c r="A855" s="73" t="n">
        <x:v>141</x:v>
      </x:c>
      <x:c r="B855" s="73" t="n">
        <x:v>2</x:v>
      </x:c>
      <x:c r="C855" s="73" t="str">
        <x:f>INDEX(Drivers!$B$8:$B$13,B855)</x:f>
        <x:v>蓝电</x:v>
      </x:c>
      <x:c r="D855" s="83" t="n">
        <x:f>G849</x:f>
        <x:v>462.1908612412766</x:v>
      </x:c>
      <x:c r="E855" s="83" t="str">
        <x:f>IF(A855=0,"GRID",IF(D855&gt;=Control!$B$17,"FINISHED",IF(AND(A855&gt;=INDEX(Drivers!$G$8:$G$13,B855),A855&lt;INDEX(Drivers!$G$8:$G$13,B855)+INDEX(Drivers!$J$8:$J$13,B855)),"PIT",IF(MOD(A855+INDEX(Drivers!$F$8:$F$13,B855),Control!$B$11)&lt;Control!$B$13,"BOOST","RACE"))))</x:f>
        <x:v>RACE</x:v>
      </x:c>
      <x:c r="F855" s="83" t="n">
        <x:f>IF(OR(E855="GRID",E855="FINISHED",E855="PIT"),0,MAX(Control!$B$15,(INDEX(Drivers!$D$8:$D$13,B855)+INDEX(Drivers!$E$8:$E$13,B855)*SIN((A855+INDEX(Drivers!$F$8:$F$13,B855)+Control!$B$16)*Control!$B$14))*INDEX(TrackMap!$M$8:$M$141,MOD(INT(D855)-1,Control!$B$7)+1)*IF(E855="BOOST",Control!$B$12,1)))</x:f>
        <x:v>3.431709022939904</x:v>
      </x:c>
      <x:c r="G855" s="83" t="n">
        <x:f>IF(A855=0,D855,MIN(Control!$B$17,D855+F855))</x:f>
        <x:v>465.6225702642165</x:v>
      </x:c>
      <x:c r="H855" s="73" t="n">
        <x:f>MOD(INT(G855)-1,Control!$B$7)+1</x:f>
        <x:v>63</x:v>
      </x:c>
      <x:c r="I855" s="73" t="n">
        <x:f>MIN(Control!$B$6,MAX(1,INT(MAX(0,G855)/Control!$B$7)+1))</x:f>
        <x:v>4</x:v>
      </x:c>
      <x:c r="J855" s="73" t="n">
        <x:f>INDEX(Drivers!$H$8:$H$13,B855)</x:f>
        <x:v>2</x:v>
      </x:c>
      <x:c r="K855" s="73" t="n">
        <x:f>IF(J855=1,INDEX(TrackMap!$I$8:$I$141,H855),INDEX(TrackMap!$L$8:$L$141,H855))</x:f>
        <x:v>1536</x:v>
      </x:c>
      <x:c r="L855" s="73" t="str">
        <x:f>INDEX(TrackMap!$F$8:$F$141,H855)</x:f>
        <x:v>→</x:v>
      </x:c>
      <x:c r="M855" s="87" t="n">
        <x:f>MAX(0,G855/Control!$B$17)</x:f>
        <x:v>0.6949590600958455</x:v>
      </x:c>
      <x:c r="N855" s="73" t="n">
        <x:f>IF(N849&gt;0,N849,IF(G855&gt;=Control!$B$17,A855,0))</x:f>
        <x:v>0</x:v>
      </x:c>
      <x:c r="O855" s="91" t="n">
        <x:f>IF(N855&gt;0,Control!$B$17+Control!$B$8+1-N855,G855)-B855/100000</x:f>
        <x:v>465.6225502642165</x:v>
      </x:c>
      <x:c r="P855" s="73" t="n">
        <x:f>COUNTIF($O$854:$O$859,"&gt;"&amp;O855)+1</x:f>
        <x:v>6</x:v>
      </x:c>
      <x:c r="Q855" s="83" t="n">
        <x:f>MAX($G$854:$G$859)-G855</x:f>
        <x:v>21.65272718157962</x:v>
      </x:c>
      <x:c r="R855" s="73" t="str">
        <x:f>INDEX(TrackMap!$B$8:$B$141,H855)</x:f>
        <x:v>中央高速直道</x:v>
      </x:c>
    </x:row>
    <x:row r="856" ht="20" customHeight="1">
      <x:c r="A856" s="73" t="n">
        <x:v>141</x:v>
      </x:c>
      <x:c r="B856" s="73" t="n">
        <x:v>3</x:v>
      </x:c>
      <x:c r="C856" s="73" t="str">
        <x:f>INDEX(Drivers!$B$8:$B$13,B856)</x:f>
        <x:v>金翼</x:v>
      </x:c>
      <x:c r="D856" s="83" t="n">
        <x:f>G850</x:f>
        <x:v>475.5884598035679</x:v>
      </x:c>
      <x:c r="E856" s="83" t="str">
        <x:f>IF(A856=0,"GRID",IF(D856&gt;=Control!$B$17,"FINISHED",IF(AND(A856&gt;=INDEX(Drivers!$G$8:$G$13,B856),A856&lt;INDEX(Drivers!$G$8:$G$13,B856)+INDEX(Drivers!$J$8:$J$13,B856)),"PIT",IF(MOD(A856+INDEX(Drivers!$F$8:$F$13,B856),Control!$B$11)&lt;Control!$B$13,"BOOST","RACE"))))</x:f>
        <x:v>BOOST</x:v>
      </x:c>
      <x:c r="F856" s="83" t="n">
        <x:f>IF(OR(E856="GRID",E856="FINISHED",E856="PIT"),0,MAX(Control!$B$15,(INDEX(Drivers!$D$8:$D$13,B856)+INDEX(Drivers!$E$8:$E$13,B856)*SIN((A856+INDEX(Drivers!$F$8:$F$13,B856)+Control!$B$16)*Control!$B$14))*INDEX(TrackMap!$M$8:$M$141,MOD(INT(D856)-1,Control!$B$7)+1)*IF(E856="BOOST",Control!$B$12,1)))</x:f>
        <x:v>3.7395768121768356</x:v>
      </x:c>
      <x:c r="G856" s="83" t="n">
        <x:f>IF(A856=0,D856,MIN(Control!$B$17,D856+F856))</x:f>
        <x:v>479.32803661574474</x:v>
      </x:c>
      <x:c r="H856" s="73" t="n">
        <x:f>MOD(INT(G856)-1,Control!$B$7)+1</x:f>
        <x:v>77</x:v>
      </x:c>
      <x:c r="I856" s="73" t="n">
        <x:f>MIN(Control!$B$6,MAX(1,INT(MAX(0,G856)/Control!$B$7)+1))</x:f>
        <x:v>4</x:v>
      </x:c>
      <x:c r="J856" s="73" t="n">
        <x:f>INDEX(Drivers!$H$8:$H$13,B856)</x:f>
        <x:v>1</x:v>
      </x:c>
      <x:c r="K856" s="73" t="n">
        <x:f>IF(J856=1,INDEX(TrackMap!$I$8:$I$141,H856),INDEX(TrackMap!$L$8:$L$141,H856))</x:f>
        <x:v>846</x:v>
      </x:c>
      <x:c r="L856" s="73" t="str">
        <x:f>INDEX(TrackMap!$F$8:$F$141,H856)</x:f>
        <x:v>→</x:v>
      </x:c>
      <x:c r="M856" s="87" t="n">
        <x:f>MAX(0,G856/Control!$B$17)</x:f>
        <x:v>0.7154149800234996</x:v>
      </x:c>
      <x:c r="N856" s="73" t="n">
        <x:f>IF(N850&gt;0,N850,IF(G856&gt;=Control!$B$17,A856,0))</x:f>
        <x:v>0</x:v>
      </x:c>
      <x:c r="O856" s="91" t="n">
        <x:f>IF(N856&gt;0,Control!$B$17+Control!$B$8+1-N856,G856)-B856/100000</x:f>
        <x:v>479.32800661574475</x:v>
      </x:c>
      <x:c r="P856" s="73" t="n">
        <x:f>COUNTIF($O$854:$O$859,"&gt;"&amp;O856)+1</x:f>
        <x:v>3</x:v>
      </x:c>
      <x:c r="Q856" s="83" t="n">
        <x:f>MAX($G$854:$G$859)-G856</x:f>
        <x:v>7.947260830051391</x:v>
      </x:c>
      <x:c r="R856" s="73" t="str">
        <x:f>INDEX(TrackMap!$B$8:$B$141,H856)</x:f>
        <x:v>东侧发卡弯</x:v>
      </x:c>
    </x:row>
    <x:row r="857" ht="20" customHeight="1">
      <x:c r="A857" s="73" t="n">
        <x:v>141</x:v>
      </x:c>
      <x:c r="B857" s="73" t="n">
        <x:v>4</x:v>
      </x:c>
      <x:c r="C857" s="73" t="str">
        <x:f>INDEX(Drivers!$B$8:$B$13,B857)</x:f>
        <x:v>紫影</x:v>
      </x:c>
      <x:c r="D857" s="83" t="n">
        <x:f>G851</x:f>
        <x:v>470.5419309597283</x:v>
      </x:c>
      <x:c r="E857" s="83" t="str">
        <x:f>IF(A857=0,"GRID",IF(D857&gt;=Control!$B$17,"FINISHED",IF(AND(A857&gt;=INDEX(Drivers!$G$8:$G$13,B857),A857&lt;INDEX(Drivers!$G$8:$G$13,B857)+INDEX(Drivers!$J$8:$J$13,B857)),"PIT",IF(MOD(A857+INDEX(Drivers!$F$8:$F$13,B857),Control!$B$11)&lt;Control!$B$13,"BOOST","RACE"))))</x:f>
        <x:v>RACE</x:v>
      </x:c>
      <x:c r="F857" s="83" t="n">
        <x:f>IF(OR(E857="GRID",E857="FINISHED",E857="PIT"),0,MAX(Control!$B$15,(INDEX(Drivers!$D$8:$D$13,B857)+INDEX(Drivers!$E$8:$E$13,B857)*SIN((A857+INDEX(Drivers!$F$8:$F$13,B857)+Control!$B$16)*Control!$B$14))*INDEX(TrackMap!$M$8:$M$141,MOD(INT(D857)-1,Control!$B$7)+1)*IF(E857="BOOST",Control!$B$12,1)))</x:f>
        <x:v>4.037059035576936</x:v>
      </x:c>
      <x:c r="G857" s="83" t="n">
        <x:f>IF(A857=0,D857,MIN(Control!$B$17,D857+F857))</x:f>
        <x:v>474.5789899953052</x:v>
      </x:c>
      <x:c r="H857" s="73" t="n">
        <x:f>MOD(INT(G857)-1,Control!$B$7)+1</x:f>
        <x:v>72</x:v>
      </x:c>
      <x:c r="I857" s="73" t="n">
        <x:f>MIN(Control!$B$6,MAX(1,INT(MAX(0,G857)/Control!$B$7)+1))</x:f>
        <x:v>4</x:v>
      </x:c>
      <x:c r="J857" s="73" t="n">
        <x:f>INDEX(Drivers!$H$8:$H$13,B857)</x:f>
        <x:v>2</x:v>
      </x:c>
      <x:c r="K857" s="73" t="n">
        <x:f>IF(J857=1,INDEX(TrackMap!$I$8:$I$141,H857),INDEX(TrackMap!$L$8:$L$141,H857))</x:f>
        <x:v>1445</x:v>
      </x:c>
      <x:c r="L857" s="73" t="str">
        <x:f>INDEX(TrackMap!$F$8:$F$141,H857)</x:f>
        <x:v>↑</x:v>
      </x:c>
      <x:c r="M857" s="87" t="n">
        <x:f>MAX(0,G857/Control!$B$17)</x:f>
        <x:v>0.7083268507392615</x:v>
      </x:c>
      <x:c r="N857" s="73" t="n">
        <x:f>IF(N851&gt;0,N851,IF(G857&gt;=Control!$B$17,A857,0))</x:f>
        <x:v>0</x:v>
      </x:c>
      <x:c r="O857" s="91" t="n">
        <x:f>IF(N857&gt;0,Control!$B$17+Control!$B$8+1-N857,G857)-B857/100000</x:f>
        <x:v>474.5789499953052</x:v>
      </x:c>
      <x:c r="P857" s="73" t="n">
        <x:f>COUNTIF($O$854:$O$859,"&gt;"&amp;O857)+1</x:f>
        <x:v>5</x:v>
      </x:c>
      <x:c r="Q857" s="83" t="n">
        <x:f>MAX($G$854:$G$859)-G857</x:f>
        <x:v>12.696307450490906</x:v>
      </x:c>
      <x:c r="R857" s="73" t="str">
        <x:f>INDEX(TrackMap!$B$8:$B$141,H857)</x:f>
        <x:v>东侧上行弯</x:v>
      </x:c>
    </x:row>
    <x:row r="858" ht="20" customHeight="1">
      <x:c r="A858" s="73" t="n">
        <x:v>141</x:v>
      </x:c>
      <x:c r="B858" s="73" t="n">
        <x:v>5</x:v>
      </x:c>
      <x:c r="C858" s="73" t="str">
        <x:f>INDEX(Drivers!$B$8:$B$13,B858)</x:f>
        <x:v>青锋</x:v>
      </x:c>
      <x:c r="D858" s="83" t="n">
        <x:f>G852</x:f>
        <x:v>474.97331128713046</x:v>
      </x:c>
      <x:c r="E858" s="83" t="str">
        <x:f>IF(A858=0,"GRID",IF(D858&gt;=Control!$B$17,"FINISHED",IF(AND(A858&gt;=INDEX(Drivers!$G$8:$G$13,B858),A858&lt;INDEX(Drivers!$G$8:$G$13,B858)+INDEX(Drivers!$J$8:$J$13,B858)),"PIT",IF(MOD(A858+INDEX(Drivers!$F$8:$F$13,B858),Control!$B$11)&lt;Control!$B$13,"BOOST","RACE"))))</x:f>
        <x:v>RACE</x:v>
      </x:c>
      <x:c r="F858" s="83" t="n">
        <x:f>IF(OR(E858="GRID",E858="FINISHED",E858="PIT"),0,MAX(Control!$B$15,(INDEX(Drivers!$D$8:$D$13,B858)+INDEX(Drivers!$E$8:$E$13,B858)*SIN((A858+INDEX(Drivers!$F$8:$F$13,B858)+Control!$B$16)*Control!$B$14))*INDEX(TrackMap!$M$8:$M$141,MOD(INT(D858)-1,Control!$B$7)+1)*IF(E858="BOOST",Control!$B$12,1)))</x:f>
        <x:v>3.138849847201566</x:v>
      </x:c>
      <x:c r="G858" s="83" t="n">
        <x:f>IF(A858=0,D858,MIN(Control!$B$17,D858+F858))</x:f>
        <x:v>478.11216113433204</x:v>
      </x:c>
      <x:c r="H858" s="73" t="n">
        <x:f>MOD(INT(G858)-1,Control!$B$7)+1</x:f>
        <x:v>76</x:v>
      </x:c>
      <x:c r="I858" s="73" t="n">
        <x:f>MIN(Control!$B$6,MAX(1,INT(MAX(0,G858)/Control!$B$7)+1))</x:f>
        <x:v>4</x:v>
      </x:c>
      <x:c r="J858" s="73" t="n">
        <x:f>INDEX(Drivers!$H$8:$H$13,B858)</x:f>
        <x:v>1</x:v>
      </x:c>
      <x:c r="K858" s="73" t="n">
        <x:f>IF(J858=1,INDEX(TrackMap!$I$8:$I$141,H858),INDEX(TrackMap!$L$8:$L$141,H858))</x:f>
        <x:v>1046</x:v>
      </x:c>
      <x:c r="L858" s="73" t="str">
        <x:f>INDEX(TrackMap!$F$8:$F$141,H858)</x:f>
        <x:v>↑</x:v>
      </x:c>
      <x:c r="M858" s="87" t="n">
        <x:f>MAX(0,G858/Control!$B$17)</x:f>
        <x:v>0.7136002404990031</x:v>
      </x:c>
      <x:c r="N858" s="73" t="n">
        <x:f>IF(N852&gt;0,N852,IF(G858&gt;=Control!$B$17,A858,0))</x:f>
        <x:v>0</x:v>
      </x:c>
      <x:c r="O858" s="91" t="n">
        <x:f>IF(N858&gt;0,Control!$B$17+Control!$B$8+1-N858,G858)-B858/100000</x:f>
        <x:v>478.11211113433205</x:v>
      </x:c>
      <x:c r="P858" s="73" t="n">
        <x:f>COUNTIF($O$854:$O$859,"&gt;"&amp;O858)+1</x:f>
        <x:v>4</x:v>
      </x:c>
      <x:c r="Q858" s="83" t="n">
        <x:f>MAX($G$854:$G$859)-G858</x:f>
        <x:v>9.163136311464086</x:v>
      </x:c>
      <x:c r="R858" s="73" t="str">
        <x:f>INDEX(TrackMap!$B$8:$B$141,H858)</x:f>
        <x:v>东侧上行弯</x:v>
      </x:c>
    </x:row>
    <x:row r="859" ht="20" customHeight="1">
      <x:c r="A859" s="73" t="n">
        <x:v>141</x:v>
      </x:c>
      <x:c r="B859" s="73" t="n">
        <x:v>6</x:v>
      </x:c>
      <x:c r="C859" s="73" t="str">
        <x:f>INDEX(Drivers!$B$8:$B$13,B859)</x:f>
        <x:v>玫速</x:v>
      </x:c>
      <x:c r="D859" s="83" t="n">
        <x:f>G853</x:f>
        <x:v>484.0240936641885</x:v>
      </x:c>
      <x:c r="E859" s="83" t="str">
        <x:f>IF(A859=0,"GRID",IF(D859&gt;=Control!$B$17,"FINISHED",IF(AND(A859&gt;=INDEX(Drivers!$G$8:$G$13,B859),A859&lt;INDEX(Drivers!$G$8:$G$13,B859)+INDEX(Drivers!$J$8:$J$13,B859)),"PIT",IF(MOD(A859+INDEX(Drivers!$F$8:$F$13,B859),Control!$B$11)&lt;Control!$B$13,"BOOST","RACE"))))</x:f>
        <x:v>BOOST</x:v>
      </x:c>
      <x:c r="F859" s="83" t="n">
        <x:f>IF(OR(E859="GRID",E859="FINISHED",E859="PIT"),0,MAX(Control!$B$15,(INDEX(Drivers!$D$8:$D$13,B859)+INDEX(Drivers!$E$8:$E$13,B859)*SIN((A859+INDEX(Drivers!$F$8:$F$13,B859)+Control!$B$16)*Control!$B$14))*INDEX(TrackMap!$M$8:$M$141,MOD(INT(D859)-1,Control!$B$7)+1)*IF(E859="BOOST",Control!$B$12,1)))</x:f>
        <x:v>3.251203781607631</x:v>
      </x:c>
      <x:c r="G859" s="83" t="n">
        <x:f>IF(A859=0,D859,MIN(Control!$B$17,D859+F859))</x:f>
        <x:v>487.2752974457961</x:v>
      </x:c>
      <x:c r="H859" s="73" t="n">
        <x:f>MOD(INT(G859)-1,Control!$B$7)+1</x:f>
        <x:v>85</x:v>
      </x:c>
      <x:c r="I859" s="73" t="n">
        <x:f>MIN(Control!$B$6,MAX(1,INT(MAX(0,G859)/Control!$B$7)+1))</x:f>
        <x:v>4</x:v>
      </x:c>
      <x:c r="J859" s="73" t="n">
        <x:f>INDEX(Drivers!$H$8:$H$13,B859)</x:f>
        <x:v>2</x:v>
      </x:c>
      <x:c r="K859" s="73" t="n">
        <x:f>IF(J859=1,INDEX(TrackMap!$I$8:$I$141,H859),INDEX(TrackMap!$L$8:$L$141,H859))</x:f>
        <x:v>1451</x:v>
      </x:c>
      <x:c r="L859" s="73" t="str">
        <x:f>INDEX(TrackMap!$F$8:$F$141,H859)</x:f>
        <x:v>↓</x:v>
      </x:c>
      <x:c r="M859" s="87" t="n">
        <x:f>MAX(0,G859/Control!$B$17)</x:f>
        <x:v>0.7272765633519345</x:v>
      </x:c>
      <x:c r="N859" s="73" t="n">
        <x:f>IF(N853&gt;0,N853,IF(G859&gt;=Control!$B$17,A859,0))</x:f>
        <x:v>0</x:v>
      </x:c>
      <x:c r="O859" s="91" t="n">
        <x:f>IF(N859&gt;0,Control!$B$17+Control!$B$8+1-N859,G859)-B859/100000</x:f>
        <x:v>487.2752374457961</x:v>
      </x:c>
      <x:c r="P859" s="73" t="n">
        <x:f>COUNTIF($O$854:$O$859,"&gt;"&amp;O859)+1</x:f>
        <x:v>1</x:v>
      </x:c>
      <x:c r="Q859" s="83" t="n">
        <x:f>MAX($G$854:$G$859)-G859</x:f>
        <x:v>0</x:v>
      </x:c>
      <x:c r="R859" s="73" t="str">
        <x:f>INDEX(TrackMap!$B$8:$B$141,H859)</x:f>
        <x:v>东侧长直道</x:v>
      </x:c>
    </x:row>
    <x:row r="860" ht="20" customHeight="1">
      <x:c r="A860" s="73" t="n">
        <x:v>142</x:v>
      </x:c>
      <x:c r="B860" s="73" t="n">
        <x:v>1</x:v>
      </x:c>
      <x:c r="C860" s="73" t="str">
        <x:f>INDEX(Drivers!$B$8:$B$13,B860)</x:f>
        <x:v>赤焰</x:v>
      </x:c>
      <x:c r="D860" s="83" t="n">
        <x:f>G854</x:f>
        <x:v>481.81989637333396</x:v>
      </x:c>
      <x:c r="E860" s="83" t="str">
        <x:f>IF(A860=0,"GRID",IF(D860&gt;=Control!$B$17,"FINISHED",IF(AND(A860&gt;=INDEX(Drivers!$G$8:$G$13,B860),A860&lt;INDEX(Drivers!$G$8:$G$13,B860)+INDEX(Drivers!$J$8:$J$13,B860)),"PIT",IF(MOD(A860+INDEX(Drivers!$F$8:$F$13,B860),Control!$B$11)&lt;Control!$B$13,"BOOST","RACE"))))</x:f>
        <x:v>RACE</x:v>
      </x:c>
      <x:c r="F860" s="83" t="n">
        <x:f>IF(OR(E860="GRID",E860="FINISHED",E860="PIT"),0,MAX(Control!$B$15,(INDEX(Drivers!$D$8:$D$13,B860)+INDEX(Drivers!$E$8:$E$13,B860)*SIN((A860+INDEX(Drivers!$F$8:$F$13,B860)+Control!$B$16)*Control!$B$14))*INDEX(TrackMap!$M$8:$M$141,MOD(INT(D860)-1,Control!$B$7)+1)*IF(E860="BOOST",Control!$B$12,1)))</x:f>
        <x:v>3.242224638822046</x:v>
      </x:c>
      <x:c r="G860" s="83" t="n">
        <x:f>IF(A860=0,D860,MIN(Control!$B$17,D860+F860))</x:f>
        <x:v>485.062121012156</x:v>
      </x:c>
      <x:c r="H860" s="73" t="n">
        <x:f>MOD(INT(G860)-1,Control!$B$7)+1</x:f>
        <x:v>83</x:v>
      </x:c>
      <x:c r="I860" s="73" t="n">
        <x:f>MIN(Control!$B$6,MAX(1,INT(MAX(0,G860)/Control!$B$7)+1))</x:f>
        <x:v>4</x:v>
      </x:c>
      <x:c r="J860" s="73" t="n">
        <x:f>INDEX(Drivers!$H$8:$H$13,B860)</x:f>
        <x:v>1</x:v>
      </x:c>
      <x:c r="K860" s="73" t="n">
        <x:f>IF(J860=1,INDEX(TrackMap!$I$8:$I$141,H860),INDEX(TrackMap!$L$8:$L$141,H860))</x:f>
        <x:v>1252</x:v>
      </x:c>
      <x:c r="L860" s="73" t="str">
        <x:f>INDEX(TrackMap!$F$8:$F$141,H860)</x:f>
        <x:v>↓</x:v>
      </x:c>
      <x:c r="M860" s="87" t="n">
        <x:f>MAX(0,G860/Control!$B$17)</x:f>
        <x:v>0.7239733149435165</x:v>
      </x:c>
      <x:c r="N860" s="73" t="n">
        <x:f>IF(N854&gt;0,N854,IF(G860&gt;=Control!$B$17,A860,0))</x:f>
        <x:v>0</x:v>
      </x:c>
      <x:c r="O860" s="91" t="n">
        <x:f>IF(N860&gt;0,Control!$B$17+Control!$B$8+1-N860,G860)-B860/100000</x:f>
        <x:v>485.06211101215604</x:v>
      </x:c>
      <x:c r="P860" s="73" t="n">
        <x:f>COUNTIF($O$860:$O$865,"&gt;"&amp;O860)+1</x:f>
        <x:v>2</x:v>
      </x:c>
      <x:c r="Q860" s="83" t="n">
        <x:f>MAX($G$860:$G$865)-G860</x:f>
        <x:v>6.48187037876005</x:v>
      </x:c>
      <x:c r="R860" s="73" t="str">
        <x:f>INDEX(TrackMap!$B$8:$B$141,H860)</x:f>
        <x:v>东侧长直道</x:v>
      </x:c>
    </x:row>
    <x:row r="861" ht="20" customHeight="1">
      <x:c r="A861" s="73" t="n">
        <x:v>142</x:v>
      </x:c>
      <x:c r="B861" s="73" t="n">
        <x:v>2</x:v>
      </x:c>
      <x:c r="C861" s="73" t="str">
        <x:f>INDEX(Drivers!$B$8:$B$13,B861)</x:f>
        <x:v>蓝电</x:v>
      </x:c>
      <x:c r="D861" s="83" t="n">
        <x:f>G855</x:f>
        <x:v>465.6225702642165</x:v>
      </x:c>
      <x:c r="E861" s="83" t="str">
        <x:f>IF(A861=0,"GRID",IF(D861&gt;=Control!$B$17,"FINISHED",IF(AND(A861&gt;=INDEX(Drivers!$G$8:$G$13,B861),A861&lt;INDEX(Drivers!$G$8:$G$13,B861)+INDEX(Drivers!$J$8:$J$13,B861)),"PIT",IF(MOD(A861+INDEX(Drivers!$F$8:$F$13,B861),Control!$B$11)&lt;Control!$B$13,"BOOST","RACE"))))</x:f>
        <x:v>RACE</x:v>
      </x:c>
      <x:c r="F861" s="83" t="n">
        <x:f>IF(OR(E861="GRID",E861="FINISHED",E861="PIT"),0,MAX(Control!$B$15,(INDEX(Drivers!$D$8:$D$13,B861)+INDEX(Drivers!$E$8:$E$13,B861)*SIN((A861+INDEX(Drivers!$F$8:$F$13,B861)+Control!$B$16)*Control!$B$14))*INDEX(TrackMap!$M$8:$M$141,MOD(INT(D861)-1,Control!$B$7)+1)*IF(E861="BOOST",Control!$B$12,1)))</x:f>
        <x:v>3.231506084758095</x:v>
      </x:c>
      <x:c r="G861" s="83" t="n">
        <x:f>IF(A861=0,D861,MIN(Control!$B$17,D861+F861))</x:f>
        <x:v>468.8540763489746</x:v>
      </x:c>
      <x:c r="H861" s="73" t="n">
        <x:f>MOD(INT(G861)-1,Control!$B$7)+1</x:f>
        <x:v>66</x:v>
      </x:c>
      <x:c r="I861" s="73" t="n">
        <x:f>MIN(Control!$B$6,MAX(1,INT(MAX(0,G861)/Control!$B$7)+1))</x:f>
        <x:v>4</x:v>
      </x:c>
      <x:c r="J861" s="73" t="n">
        <x:f>INDEX(Drivers!$H$8:$H$13,B861)</x:f>
        <x:v>2</x:v>
      </x:c>
      <x:c r="K861" s="73" t="n">
        <x:f>IF(J861=1,INDEX(TrackMap!$I$8:$I$141,H861),INDEX(TrackMap!$L$8:$L$141,H861))</x:f>
        <x:v>1539</x:v>
      </x:c>
      <x:c r="L861" s="73" t="str">
        <x:f>INDEX(TrackMap!$F$8:$F$141,H861)</x:f>
        <x:v>→</x:v>
      </x:c>
      <x:c r="M861" s="87" t="n">
        <x:f>MAX(0,G861/Control!$B$17)</x:f>
        <x:v>0.6997822035059322</x:v>
      </x:c>
      <x:c r="N861" s="73" t="n">
        <x:f>IF(N855&gt;0,N855,IF(G861&gt;=Control!$B$17,A861,0))</x:f>
        <x:v>0</x:v>
      </x:c>
      <x:c r="O861" s="91" t="n">
        <x:f>IF(N861&gt;0,Control!$B$17+Control!$B$8+1-N861,G861)-B861/100000</x:f>
        <x:v>468.8540563489746</x:v>
      </x:c>
      <x:c r="P861" s="73" t="n">
        <x:f>COUNTIF($O$860:$O$865,"&gt;"&amp;O861)+1</x:f>
        <x:v>6</x:v>
      </x:c>
      <x:c r="Q861" s="83" t="n">
        <x:f>MAX($G$860:$G$865)-G861</x:f>
        <x:v>22.689915041941447</x:v>
      </x:c>
      <x:c r="R861" s="73" t="str">
        <x:f>INDEX(TrackMap!$B$8:$B$141,H861)</x:f>
        <x:v>中央高速直道</x:v>
      </x:c>
    </x:row>
    <x:row r="862" ht="20" customHeight="1">
      <x:c r="A862" s="73" t="n">
        <x:v>142</x:v>
      </x:c>
      <x:c r="B862" s="73" t="n">
        <x:v>3</x:v>
      </x:c>
      <x:c r="C862" s="73" t="str">
        <x:f>INDEX(Drivers!$B$8:$B$13,B862)</x:f>
        <x:v>金翼</x:v>
      </x:c>
      <x:c r="D862" s="83" t="n">
        <x:f>G856</x:f>
        <x:v>479.32803661574474</x:v>
      </x:c>
      <x:c r="E862" s="83" t="str">
        <x:f>IF(A862=0,"GRID",IF(D862&gt;=Control!$B$17,"FINISHED",IF(AND(A862&gt;=INDEX(Drivers!$G$8:$G$13,B862),A862&lt;INDEX(Drivers!$G$8:$G$13,B862)+INDEX(Drivers!$J$8:$J$13,B862)),"PIT",IF(MOD(A862+INDEX(Drivers!$F$8:$F$13,B862),Control!$B$11)&lt;Control!$B$13,"BOOST","RACE"))))</x:f>
        <x:v>BOOST</x:v>
      </x:c>
      <x:c r="F862" s="83" t="n">
        <x:f>IF(OR(E862="GRID",E862="FINISHED",E862="PIT"),0,MAX(Control!$B$15,(INDEX(Drivers!$D$8:$D$13,B862)+INDEX(Drivers!$E$8:$E$13,B862)*SIN((A862+INDEX(Drivers!$F$8:$F$13,B862)+Control!$B$16)*Control!$B$14))*INDEX(TrackMap!$M$8:$M$141,MOD(INT(D862)-1,Control!$B$7)+1)*IF(E862="BOOST",Control!$B$12,1)))</x:f>
        <x:v>3.9319515935013887</x:v>
      </x:c>
      <x:c r="G862" s="83" t="n">
        <x:f>IF(A862=0,D862,MIN(Control!$B$17,D862+F862))</x:f>
        <x:v>483.2599882092461</x:v>
      </x:c>
      <x:c r="H862" s="73" t="n">
        <x:f>MOD(INT(G862)-1,Control!$B$7)+1</x:f>
        <x:v>81</x:v>
      </x:c>
      <x:c r="I862" s="73" t="n">
        <x:f>MIN(Control!$B$6,MAX(1,INT(MAX(0,G862)/Control!$B$7)+1))</x:f>
        <x:v>4</x:v>
      </x:c>
      <x:c r="J862" s="73" t="n">
        <x:f>INDEX(Drivers!$H$8:$H$13,B862)</x:f>
        <x:v>1</x:v>
      </x:c>
      <x:c r="K862" s="73" t="n">
        <x:f>IF(J862=1,INDEX(TrackMap!$I$8:$I$141,H862),INDEX(TrackMap!$L$8:$L$141,H862))</x:f>
        <x:v>1051</x:v>
      </x:c>
      <x:c r="L862" s="73" t="str">
        <x:f>INDEX(TrackMap!$F$8:$F$141,H862)</x:f>
        <x:v>↓</x:v>
      </x:c>
      <x:c r="M862" s="87" t="n">
        <x:f>MAX(0,G862/Control!$B$17)</x:f>
        <x:v>0.7212835644914121</x:v>
      </x:c>
      <x:c r="N862" s="73" t="n">
        <x:f>IF(N856&gt;0,N856,IF(G862&gt;=Control!$B$17,A862,0))</x:f>
        <x:v>0</x:v>
      </x:c>
      <x:c r="O862" s="91" t="n">
        <x:f>IF(N862&gt;0,Control!$B$17+Control!$B$8+1-N862,G862)-B862/100000</x:f>
        <x:v>483.2599582092461</x:v>
      </x:c>
      <x:c r="P862" s="73" t="n">
        <x:f>COUNTIF($O$860:$O$865,"&gt;"&amp;O862)+1</x:f>
        <x:v>3</x:v>
      </x:c>
      <x:c r="Q862" s="83" t="n">
        <x:f>MAX($G$860:$G$865)-G862</x:f>
        <x:v>8.28400318166996</x:v>
      </x:c>
      <x:c r="R862" s="73" t="str">
        <x:f>INDEX(TrackMap!$B$8:$B$141,H862)</x:f>
        <x:v>东侧发卡弯</x:v>
      </x:c>
    </x:row>
    <x:row r="863" ht="20" customHeight="1">
      <x:c r="A863" s="73" t="n">
        <x:v>142</x:v>
      </x:c>
      <x:c r="B863" s="73" t="n">
        <x:v>4</x:v>
      </x:c>
      <x:c r="C863" s="73" t="str">
        <x:f>INDEX(Drivers!$B$8:$B$13,B863)</x:f>
        <x:v>紫影</x:v>
      </x:c>
      <x:c r="D863" s="83" t="n">
        <x:f>G857</x:f>
        <x:v>474.5789899953052</x:v>
      </x:c>
      <x:c r="E863" s="83" t="str">
        <x:f>IF(A863=0,"GRID",IF(D863&gt;=Control!$B$17,"FINISHED",IF(AND(A863&gt;=INDEX(Drivers!$G$8:$G$13,B863),A863&lt;INDEX(Drivers!$G$8:$G$13,B863)+INDEX(Drivers!$J$8:$J$13,B863)),"PIT",IF(MOD(A863+INDEX(Drivers!$F$8:$F$13,B863),Control!$B$11)&lt;Control!$B$13,"BOOST","RACE"))))</x:f>
        <x:v>RACE</x:v>
      </x:c>
      <x:c r="F863" s="83" t="n">
        <x:f>IF(OR(E863="GRID",E863="FINISHED",E863="PIT"),0,MAX(Control!$B$15,(INDEX(Drivers!$D$8:$D$13,B863)+INDEX(Drivers!$E$8:$E$13,B863)*SIN((A863+INDEX(Drivers!$F$8:$F$13,B863)+Control!$B$16)*Control!$B$14))*INDEX(TrackMap!$M$8:$M$141,MOD(INT(D863)-1,Control!$B$7)+1)*IF(E863="BOOST",Control!$B$12,1)))</x:f>
        <x:v>3.0182903447232357</x:v>
      </x:c>
      <x:c r="G863" s="83" t="n">
        <x:f>IF(A863=0,D863,MIN(Control!$B$17,D863+F863))</x:f>
        <x:v>477.5972803400285</x:v>
      </x:c>
      <x:c r="H863" s="73" t="n">
        <x:f>MOD(INT(G863)-1,Control!$B$7)+1</x:f>
        <x:v>75</x:v>
      </x:c>
      <x:c r="I863" s="73" t="n">
        <x:f>MIN(Control!$B$6,MAX(1,INT(MAX(0,G863)/Control!$B$7)+1))</x:f>
        <x:v>4</x:v>
      </x:c>
      <x:c r="J863" s="73" t="n">
        <x:f>INDEX(Drivers!$H$8:$H$13,B863)</x:f>
        <x:v>2</x:v>
      </x:c>
      <x:c r="K863" s="73" t="n">
        <x:f>IF(J863=1,INDEX(TrackMap!$I$8:$I$141,H863),INDEX(TrackMap!$L$8:$L$141,H863))</x:f>
        <x:v>1145</x:v>
      </x:c>
      <x:c r="L863" s="73" t="str">
        <x:f>INDEX(TrackMap!$F$8:$F$141,H863)</x:f>
        <x:v>↑</x:v>
      </x:c>
      <x:c r="M863" s="87" t="n">
        <x:f>MAX(0,G863/Control!$B$17)</x:f>
        <x:v>0.7128317617015351</x:v>
      </x:c>
      <x:c r="N863" s="73" t="n">
        <x:f>IF(N857&gt;0,N857,IF(G863&gt;=Control!$B$17,A863,0))</x:f>
        <x:v>0</x:v>
      </x:c>
      <x:c r="O863" s="91" t="n">
        <x:f>IF(N863&gt;0,Control!$B$17+Control!$B$8+1-N863,G863)-B863/100000</x:f>
        <x:v>477.59724034002846</x:v>
      </x:c>
      <x:c r="P863" s="73" t="n">
        <x:f>COUNTIF($O$860:$O$865,"&gt;"&amp;O863)+1</x:f>
        <x:v>5</x:v>
      </x:c>
      <x:c r="Q863" s="83" t="n">
        <x:f>MAX($G$860:$G$865)-G863</x:f>
        <x:v>13.946711050887586</x:v>
      </x:c>
      <x:c r="R863" s="73" t="str">
        <x:f>INDEX(TrackMap!$B$8:$B$141,H863)</x:f>
        <x:v>东侧上行弯</x:v>
      </x:c>
    </x:row>
    <x:row r="864" ht="20" customHeight="1">
      <x:c r="A864" s="73" t="n">
        <x:v>142</x:v>
      </x:c>
      <x:c r="B864" s="73" t="n">
        <x:v>5</x:v>
      </x:c>
      <x:c r="C864" s="73" t="str">
        <x:f>INDEX(Drivers!$B$8:$B$13,B864)</x:f>
        <x:v>青锋</x:v>
      </x:c>
      <x:c r="D864" s="83" t="n">
        <x:f>G858</x:f>
        <x:v>478.11216113433204</x:v>
      </x:c>
      <x:c r="E864" s="83" t="str">
        <x:f>IF(A864=0,"GRID",IF(D864&gt;=Control!$B$17,"FINISHED",IF(AND(A864&gt;=INDEX(Drivers!$G$8:$G$13,B864),A864&lt;INDEX(Drivers!$G$8:$G$13,B864)+INDEX(Drivers!$J$8:$J$13,B864)),"PIT",IF(MOD(A864+INDEX(Drivers!$F$8:$F$13,B864),Control!$B$11)&lt;Control!$B$13,"BOOST","RACE"))))</x:f>
        <x:v>RACE</x:v>
      </x:c>
      <x:c r="F864" s="83" t="n">
        <x:f>IF(OR(E864="GRID",E864="FINISHED",E864="PIT"),0,MAX(Control!$B$15,(INDEX(Drivers!$D$8:$D$13,B864)+INDEX(Drivers!$E$8:$E$13,B864)*SIN((A864+INDEX(Drivers!$F$8:$F$13,B864)+Control!$B$16)*Control!$B$14))*INDEX(TrackMap!$M$8:$M$141,MOD(INT(D864)-1,Control!$B$7)+1)*IF(E864="BOOST",Control!$B$12,1)))</x:f>
        <x:v>3.0223790507275567</x:v>
      </x:c>
      <x:c r="G864" s="83" t="n">
        <x:f>IF(A864=0,D864,MIN(Control!$B$17,D864+F864))</x:f>
        <x:v>481.1345401850596</x:v>
      </x:c>
      <x:c r="H864" s="73" t="n">
        <x:f>MOD(INT(G864)-1,Control!$B$7)+1</x:f>
        <x:v>79</x:v>
      </x:c>
      <x:c r="I864" s="73" t="n">
        <x:f>MIN(Control!$B$6,MAX(1,INT(MAX(0,G864)/Control!$B$7)+1))</x:f>
        <x:v>4</x:v>
      </x:c>
      <x:c r="J864" s="73" t="n">
        <x:f>INDEX(Drivers!$H$8:$H$13,B864)</x:f>
        <x:v>1</x:v>
      </x:c>
      <x:c r="K864" s="73" t="n">
        <x:f>IF(J864=1,INDEX(TrackMap!$I$8:$I$141,H864),INDEX(TrackMap!$L$8:$L$141,H864))</x:f>
        <x:v>848</x:v>
      </x:c>
      <x:c r="L864" s="73" t="str">
        <x:f>INDEX(TrackMap!$F$8:$F$141,H864)</x:f>
        <x:v>→</x:v>
      </x:c>
      <x:c r="M864" s="87" t="n">
        <x:f>MAX(0,G864/Control!$B$17)</x:f>
        <x:v>0.7181112540075517</x:v>
      </x:c>
      <x:c r="N864" s="73" t="n">
        <x:f>IF(N858&gt;0,N858,IF(G864&gt;=Control!$B$17,A864,0))</x:f>
        <x:v>0</x:v>
      </x:c>
      <x:c r="O864" s="91" t="n">
        <x:f>IF(N864&gt;0,Control!$B$17+Control!$B$8+1-N864,G864)-B864/100000</x:f>
        <x:v>481.13449018505963</x:v>
      </x:c>
      <x:c r="P864" s="73" t="n">
        <x:f>COUNTIF($O$860:$O$865,"&gt;"&amp;O864)+1</x:f>
        <x:v>4</x:v>
      </x:c>
      <x:c r="Q864" s="83" t="n">
        <x:f>MAX($G$860:$G$865)-G864</x:f>
        <x:v>10.409451205856442</x:v>
      </x:c>
      <x:c r="R864" s="73" t="str">
        <x:f>INDEX(TrackMap!$B$8:$B$141,H864)</x:f>
        <x:v>东侧发卡弯</x:v>
      </x:c>
    </x:row>
    <x:row r="865" ht="20" customHeight="1">
      <x:c r="A865" s="73" t="n">
        <x:v>142</x:v>
      </x:c>
      <x:c r="B865" s="73" t="n">
        <x:v>6</x:v>
      </x:c>
      <x:c r="C865" s="73" t="str">
        <x:f>INDEX(Drivers!$B$8:$B$13,B865)</x:f>
        <x:v>玫速</x:v>
      </x:c>
      <x:c r="D865" s="83" t="n">
        <x:f>G859</x:f>
        <x:v>487.2752974457961</x:v>
      </x:c>
      <x:c r="E865" s="83" t="str">
        <x:f>IF(A865=0,"GRID",IF(D865&gt;=Control!$B$17,"FINISHED",IF(AND(A865&gt;=INDEX(Drivers!$G$8:$G$13,B865),A865&lt;INDEX(Drivers!$G$8:$G$13,B865)+INDEX(Drivers!$J$8:$J$13,B865)),"PIT",IF(MOD(A865+INDEX(Drivers!$F$8:$F$13,B865),Control!$B$11)&lt;Control!$B$13,"BOOST","RACE"))))</x:f>
        <x:v>BOOST</x:v>
      </x:c>
      <x:c r="F865" s="83" t="n">
        <x:f>IF(OR(E865="GRID",E865="FINISHED",E865="PIT"),0,MAX(Control!$B$15,(INDEX(Drivers!$D$8:$D$13,B865)+INDEX(Drivers!$E$8:$E$13,B865)*SIN((A865+INDEX(Drivers!$F$8:$F$13,B865)+Control!$B$16)*Control!$B$14))*INDEX(TrackMap!$M$8:$M$141,MOD(INT(D865)-1,Control!$B$7)+1)*IF(E865="BOOST",Control!$B$12,1)))</x:f>
        <x:v>4.268693945119959</x:v>
      </x:c>
      <x:c r="G865" s="83" t="n">
        <x:f>IF(A865=0,D865,MIN(Control!$B$17,D865+F865))</x:f>
        <x:v>491.54399139091606</x:v>
      </x:c>
      <x:c r="H865" s="73" t="n">
        <x:f>MOD(INT(G865)-1,Control!$B$7)+1</x:f>
        <x:v>89</x:v>
      </x:c>
      <x:c r="I865" s="73" t="n">
        <x:f>MIN(Control!$B$6,MAX(1,INT(MAX(0,G865)/Control!$B$7)+1))</x:f>
        <x:v>4</x:v>
      </x:c>
      <x:c r="J865" s="73" t="n">
        <x:f>INDEX(Drivers!$H$8:$H$13,B865)</x:f>
        <x:v>2</x:v>
      </x:c>
      <x:c r="K865" s="73" t="n">
        <x:f>IF(J865=1,INDEX(TrackMap!$I$8:$I$141,H865),INDEX(TrackMap!$L$8:$L$141,H865))</x:f>
        <x:v>1851</x:v>
      </x:c>
      <x:c r="L865" s="73" t="str">
        <x:f>INDEX(TrackMap!$F$8:$F$141,H865)</x:f>
        <x:v>↓</x:v>
      </x:c>
      <x:c r="M865" s="87" t="n">
        <x:f>MAX(0,G865/Control!$B$17)</x:f>
        <x:v>0.7336477483446509</x:v>
      </x:c>
      <x:c r="N865" s="73" t="n">
        <x:f>IF(N859&gt;0,N859,IF(G865&gt;=Control!$B$17,A865,0))</x:f>
        <x:v>0</x:v>
      </x:c>
      <x:c r="O865" s="91" t="n">
        <x:f>IF(N865&gt;0,Control!$B$17+Control!$B$8+1-N865,G865)-B865/100000</x:f>
        <x:v>491.54393139091604</x:v>
      </x:c>
      <x:c r="P865" s="73" t="n">
        <x:f>COUNTIF($O$860:$O$865,"&gt;"&amp;O865)+1</x:f>
        <x:v>1</x:v>
      </x:c>
      <x:c r="Q865" s="83" t="n">
        <x:f>MAX($G$860:$G$865)-G865</x:f>
        <x:v>0</x:v>
      </x:c>
      <x:c r="R865" s="73" t="str">
        <x:f>INDEX(TrackMap!$B$8:$B$141,H865)</x:f>
        <x:v>东侧长直道</x:v>
      </x:c>
    </x:row>
    <x:row r="866" ht="20" customHeight="1">
      <x:c r="A866" s="73" t="n">
        <x:v>143</x:v>
      </x:c>
      <x:c r="B866" s="73" t="n">
        <x:v>1</x:v>
      </x:c>
      <x:c r="C866" s="73" t="str">
        <x:f>INDEX(Drivers!$B$8:$B$13,B866)</x:f>
        <x:v>赤焰</x:v>
      </x:c>
      <x:c r="D866" s="83" t="n">
        <x:f>G860</x:f>
        <x:v>485.062121012156</x:v>
      </x:c>
      <x:c r="E866" s="83" t="str">
        <x:f>IF(A866=0,"GRID",IF(D866&gt;=Control!$B$17,"FINISHED",IF(AND(A866&gt;=INDEX(Drivers!$G$8:$G$13,B866),A866&lt;INDEX(Drivers!$G$8:$G$13,B866)+INDEX(Drivers!$J$8:$J$13,B866)),"PIT",IF(MOD(A866+INDEX(Drivers!$F$8:$F$13,B866),Control!$B$11)&lt;Control!$B$13,"BOOST","RACE"))))</x:f>
        <x:v>RACE</x:v>
      </x:c>
      <x:c r="F866" s="83" t="n">
        <x:f>IF(OR(E866="GRID",E866="FINISHED",E866="PIT"),0,MAX(Control!$B$15,(INDEX(Drivers!$D$8:$D$13,B866)+INDEX(Drivers!$E$8:$E$13,B866)*SIN((A866+INDEX(Drivers!$F$8:$F$13,B866)+Control!$B$16)*Control!$B$14))*INDEX(TrackMap!$M$8:$M$141,MOD(INT(D866)-1,Control!$B$7)+1)*IF(E866="BOOST",Control!$B$12,1)))</x:f>
        <x:v>3.275813799010746</x:v>
      </x:c>
      <x:c r="G866" s="83" t="n">
        <x:f>IF(A866=0,D866,MIN(Control!$B$17,D866+F866))</x:f>
        <x:v>488.33793481116675</x:v>
      </x:c>
      <x:c r="H866" s="73" t="n">
        <x:f>MOD(INT(G866)-1,Control!$B$7)+1</x:f>
        <x:v>86</x:v>
      </x:c>
      <x:c r="I866" s="73" t="n">
        <x:f>MIN(Control!$B$6,MAX(1,INT(MAX(0,G866)/Control!$B$7)+1))</x:f>
        <x:v>4</x:v>
      </x:c>
      <x:c r="J866" s="73" t="n">
        <x:f>INDEX(Drivers!$H$8:$H$13,B866)</x:f>
        <x:v>1</x:v>
      </x:c>
      <x:c r="K866" s="73" t="n">
        <x:f>IF(J866=1,INDEX(TrackMap!$I$8:$I$141,H866),INDEX(TrackMap!$L$8:$L$141,H866))</x:f>
        <x:v>1552</x:v>
      </x:c>
      <x:c r="L866" s="73" t="str">
        <x:f>INDEX(TrackMap!$F$8:$F$141,H866)</x:f>
        <x:v>↓</x:v>
      </x:c>
      <x:c r="M866" s="87" t="n">
        <x:f>MAX(0,G866/Control!$B$17)</x:f>
        <x:v>0.7288625892703982</x:v>
      </x:c>
      <x:c r="N866" s="73" t="n">
        <x:f>IF(N860&gt;0,N860,IF(G866&gt;=Control!$B$17,A866,0))</x:f>
        <x:v>0</x:v>
      </x:c>
      <x:c r="O866" s="91" t="n">
        <x:f>IF(N866&gt;0,Control!$B$17+Control!$B$8+1-N866,G866)-B866/100000</x:f>
        <x:v>488.3379248111668</x:v>
      </x:c>
      <x:c r="P866" s="73" t="n">
        <x:f>COUNTIF($O$866:$O$871,"&gt;"&amp;O866)+1</x:f>
        <x:v>2</x:v>
      </x:c>
      <x:c r="Q866" s="83" t="n">
        <x:f>MAX($G$866:$G$871)-G866</x:f>
        <x:v>7.669882287504208</x:v>
      </x:c>
      <x:c r="R866" s="73" t="str">
        <x:f>INDEX(TrackMap!$B$8:$B$141,H866)</x:f>
        <x:v>东侧长直道</x:v>
      </x:c>
    </x:row>
    <x:row r="867" ht="20" customHeight="1">
      <x:c r="A867" s="73" t="n">
        <x:v>143</x:v>
      </x:c>
      <x:c r="B867" s="73" t="n">
        <x:v>2</x:v>
      </x:c>
      <x:c r="C867" s="73" t="str">
        <x:f>INDEX(Drivers!$B$8:$B$13,B867)</x:f>
        <x:v>蓝电</x:v>
      </x:c>
      <x:c r="D867" s="83" t="n">
        <x:f>G861</x:f>
        <x:v>468.8540763489746</x:v>
      </x:c>
      <x:c r="E867" s="83" t="str">
        <x:f>IF(A867=0,"GRID",IF(D867&gt;=Control!$B$17,"FINISHED",IF(AND(A867&gt;=INDEX(Drivers!$G$8:$G$13,B867),A867&lt;INDEX(Drivers!$G$8:$G$13,B867)+INDEX(Drivers!$J$8:$J$13,B867)),"PIT",IF(MOD(A867+INDEX(Drivers!$F$8:$F$13,B867),Control!$B$11)&lt;Control!$B$13,"BOOST","RACE"))))</x:f>
        <x:v>RACE</x:v>
      </x:c>
      <x:c r="F867" s="83" t="n">
        <x:f>IF(OR(E867="GRID",E867="FINISHED",E867="PIT"),0,MAX(Control!$B$15,(INDEX(Drivers!$D$8:$D$13,B867)+INDEX(Drivers!$E$8:$E$13,B867)*SIN((A867+INDEX(Drivers!$F$8:$F$13,B867)+Control!$B$16)*Control!$B$14))*INDEX(TrackMap!$M$8:$M$141,MOD(INT(D867)-1,Control!$B$7)+1)*IF(E867="BOOST",Control!$B$12,1)))</x:f>
        <x:v>3.0784701631454214</x:v>
      </x:c>
      <x:c r="G867" s="83" t="n">
        <x:f>IF(A867=0,D867,MIN(Control!$B$17,D867+F867))</x:f>
        <x:v>471.93254651212004</x:v>
      </x:c>
      <x:c r="H867" s="73" t="n">
        <x:f>MOD(INT(G867)-1,Control!$B$7)+1</x:f>
        <x:v>69</x:v>
      </x:c>
      <x:c r="I867" s="73" t="n">
        <x:f>MIN(Control!$B$6,MAX(1,INT(MAX(0,G867)/Control!$B$7)+1))</x:f>
        <x:v>4</x:v>
      </x:c>
      <x:c r="J867" s="73" t="n">
        <x:f>INDEX(Drivers!$H$8:$H$13,B867)</x:f>
        <x:v>2</x:v>
      </x:c>
      <x:c r="K867" s="73" t="n">
        <x:f>IF(J867=1,INDEX(TrackMap!$I$8:$I$141,H867),INDEX(TrackMap!$L$8:$L$141,H867))</x:f>
        <x:v>1542</x:v>
      </x:c>
      <x:c r="L867" s="73" t="str">
        <x:f>INDEX(TrackMap!$F$8:$F$141,H867)</x:f>
        <x:v>→</x:v>
      </x:c>
      <x:c r="M867" s="87" t="n">
        <x:f>MAX(0,G867/Control!$B$17)</x:f>
        <x:v>0.7043769350927165</x:v>
      </x:c>
      <x:c r="N867" s="73" t="n">
        <x:f>IF(N861&gt;0,N861,IF(G867&gt;=Control!$B$17,A867,0))</x:f>
        <x:v>0</x:v>
      </x:c>
      <x:c r="O867" s="91" t="n">
        <x:f>IF(N867&gt;0,Control!$B$17+Control!$B$8+1-N867,G867)-B867/100000</x:f>
        <x:v>471.93252651212003</x:v>
      </x:c>
      <x:c r="P867" s="73" t="n">
        <x:f>COUNTIF($O$866:$O$871,"&gt;"&amp;O867)+1</x:f>
        <x:v>6</x:v>
      </x:c>
      <x:c r="Q867" s="83" t="n">
        <x:f>MAX($G$866:$G$871)-G867</x:f>
        <x:v>24.075270586550914</x:v>
      </x:c>
      <x:c r="R867" s="73" t="str">
        <x:f>INDEX(TrackMap!$B$8:$B$141,H867)</x:f>
        <x:v>中央高速直道</x:v>
      </x:c>
    </x:row>
    <x:row r="868" ht="20" customHeight="1">
      <x:c r="A868" s="73" t="n">
        <x:v>143</x:v>
      </x:c>
      <x:c r="B868" s="73" t="n">
        <x:v>3</x:v>
      </x:c>
      <x:c r="C868" s="73" t="str">
        <x:f>INDEX(Drivers!$B$8:$B$13,B868)</x:f>
        <x:v>金翼</x:v>
      </x:c>
      <x:c r="D868" s="83" t="n">
        <x:f>G862</x:f>
        <x:v>483.2599882092461</x:v>
      </x:c>
      <x:c r="E868" s="83" t="str">
        <x:f>IF(A868=0,"GRID",IF(D868&gt;=Control!$B$17,"FINISHED",IF(AND(A868&gt;=INDEX(Drivers!$G$8:$G$13,B868),A868&lt;INDEX(Drivers!$G$8:$G$13,B868)+INDEX(Drivers!$J$8:$J$13,B868)),"PIT",IF(MOD(A868+INDEX(Drivers!$F$8:$F$13,B868),Control!$B$11)&lt;Control!$B$13,"BOOST","RACE"))))</x:f>
        <x:v>RACE</x:v>
      </x:c>
      <x:c r="F868" s="83" t="n">
        <x:f>IF(OR(E868="GRID",E868="FINISHED",E868="PIT"),0,MAX(Control!$B$15,(INDEX(Drivers!$D$8:$D$13,B868)+INDEX(Drivers!$E$8:$E$13,B868)*SIN((A868+INDEX(Drivers!$F$8:$F$13,B868)+Control!$B$16)*Control!$B$14))*INDEX(TrackMap!$M$8:$M$141,MOD(INT(D868)-1,Control!$B$7)+1)*IF(E868="BOOST",Control!$B$12,1)))</x:f>
        <x:v>3.0514622443207093</x:v>
      </x:c>
      <x:c r="G868" s="83" t="n">
        <x:f>IF(A868=0,D868,MIN(Control!$B$17,D868+F868))</x:f>
        <x:v>486.3114504535668</x:v>
      </x:c>
      <x:c r="H868" s="73" t="n">
        <x:f>MOD(INT(G868)-1,Control!$B$7)+1</x:f>
        <x:v>84</x:v>
      </x:c>
      <x:c r="I868" s="73" t="n">
        <x:f>MIN(Control!$B$6,MAX(1,INT(MAX(0,G868)/Control!$B$7)+1))</x:f>
        <x:v>4</x:v>
      </x:c>
      <x:c r="J868" s="73" t="n">
        <x:f>INDEX(Drivers!$H$8:$H$13,B868)</x:f>
        <x:v>1</x:v>
      </x:c>
      <x:c r="K868" s="73" t="n">
        <x:f>IF(J868=1,INDEX(TrackMap!$I$8:$I$141,H868),INDEX(TrackMap!$L$8:$L$141,H868))</x:f>
        <x:v>1352</x:v>
      </x:c>
      <x:c r="L868" s="73" t="str">
        <x:f>INDEX(TrackMap!$F$8:$F$141,H868)</x:f>
        <x:v>↓</x:v>
      </x:c>
      <x:c r="M868" s="87" t="n">
        <x:f>MAX(0,G868/Control!$B$17)</x:f>
        <x:v>0.7258379857515922</x:v>
      </x:c>
      <x:c r="N868" s="73" t="n">
        <x:f>IF(N862&gt;0,N862,IF(G868&gt;=Control!$B$17,A868,0))</x:f>
        <x:v>0</x:v>
      </x:c>
      <x:c r="O868" s="91" t="n">
        <x:f>IF(N868&gt;0,Control!$B$17+Control!$B$8+1-N868,G868)-B868/100000</x:f>
        <x:v>486.3114204535668</x:v>
      </x:c>
      <x:c r="P868" s="73" t="n">
        <x:f>COUNTIF($O$866:$O$871,"&gt;"&amp;O868)+1</x:f>
        <x:v>3</x:v>
      </x:c>
      <x:c r="Q868" s="83" t="n">
        <x:f>MAX($G$866:$G$871)-G868</x:f>
        <x:v>9.696366645104149</x:v>
      </x:c>
      <x:c r="R868" s="73" t="str">
        <x:f>INDEX(TrackMap!$B$8:$B$141,H868)</x:f>
        <x:v>东侧长直道</x:v>
      </x:c>
    </x:row>
    <x:row r="869" ht="20" customHeight="1">
      <x:c r="A869" s="73" t="n">
        <x:v>143</x:v>
      </x:c>
      <x:c r="B869" s="73" t="n">
        <x:v>4</x:v>
      </x:c>
      <x:c r="C869" s="73" t="str">
        <x:f>INDEX(Drivers!$B$8:$B$13,B869)</x:f>
        <x:v>紫影</x:v>
      </x:c>
      <x:c r="D869" s="83" t="n">
        <x:f>G863</x:f>
        <x:v>477.5972803400285</x:v>
      </x:c>
      <x:c r="E869" s="83" t="str">
        <x:f>IF(A869=0,"GRID",IF(D869&gt;=Control!$B$17,"FINISHED",IF(AND(A869&gt;=INDEX(Drivers!$G$8:$G$13,B869),A869&lt;INDEX(Drivers!$G$8:$G$13,B869)+INDEX(Drivers!$J$8:$J$13,B869)),"PIT",IF(MOD(A869+INDEX(Drivers!$F$8:$F$13,B869),Control!$B$11)&lt;Control!$B$13,"BOOST","RACE"))))</x:f>
        <x:v>RACE</x:v>
      </x:c>
      <x:c r="F869" s="83" t="n">
        <x:f>IF(OR(E869="GRID",E869="FINISHED",E869="PIT"),0,MAX(Control!$B$15,(INDEX(Drivers!$D$8:$D$13,B869)+INDEX(Drivers!$E$8:$E$13,B869)*SIN((A869+INDEX(Drivers!$F$8:$F$13,B869)+Control!$B$16)*Control!$B$14))*INDEX(TrackMap!$M$8:$M$141,MOD(INT(D869)-1,Control!$B$7)+1)*IF(E869="BOOST",Control!$B$12,1)))</x:f>
        <x:v>2.8592128300547692</x:v>
      </x:c>
      <x:c r="G869" s="83" t="n">
        <x:f>IF(A869=0,D869,MIN(Control!$B$17,D869+F869))</x:f>
        <x:v>480.45649317008326</x:v>
      </x:c>
      <x:c r="H869" s="73" t="n">
        <x:f>MOD(INT(G869)-1,Control!$B$7)+1</x:f>
        <x:v>78</x:v>
      </x:c>
      <x:c r="I869" s="73" t="n">
        <x:f>MIN(Control!$B$6,MAX(1,INT(MAX(0,G869)/Control!$B$7)+1))</x:f>
        <x:v>4</x:v>
      </x:c>
      <x:c r="J869" s="73" t="n">
        <x:f>INDEX(Drivers!$H$8:$H$13,B869)</x:f>
        <x:v>2</x:v>
      </x:c>
      <x:c r="K869" s="73" t="n">
        <x:f>IF(J869=1,INDEX(TrackMap!$I$8:$I$141,H869),INDEX(TrackMap!$L$8:$L$141,H869))</x:f>
        <x:v>947</x:v>
      </x:c>
      <x:c r="L869" s="73" t="str">
        <x:f>INDEX(TrackMap!$F$8:$F$141,H869)</x:f>
        <x:v>→</x:v>
      </x:c>
      <x:c r="M869" s="87" t="n">
        <x:f>MAX(0,G869/Control!$B$17)</x:f>
        <x:v>0.7170992435374377</x:v>
      </x:c>
      <x:c r="N869" s="73" t="n">
        <x:f>IF(N863&gt;0,N863,IF(G869&gt;=Control!$B$17,A869,0))</x:f>
        <x:v>0</x:v>
      </x:c>
      <x:c r="O869" s="91" t="n">
        <x:f>IF(N869&gt;0,Control!$B$17+Control!$B$8+1-N869,G869)-B869/100000</x:f>
        <x:v>480.45645317008325</x:v>
      </x:c>
      <x:c r="P869" s="73" t="n">
        <x:f>COUNTIF($O$866:$O$871,"&gt;"&amp;O869)+1</x:f>
        <x:v>5</x:v>
      </x:c>
      <x:c r="Q869" s="83" t="n">
        <x:f>MAX($G$866:$G$871)-G869</x:f>
        <x:v>15.551323928587692</x:v>
      </x:c>
      <x:c r="R869" s="73" t="str">
        <x:f>INDEX(TrackMap!$B$8:$B$141,H869)</x:f>
        <x:v>东侧发卡弯</x:v>
      </x:c>
    </x:row>
    <x:row r="870" ht="20" customHeight="1">
      <x:c r="A870" s="73" t="n">
        <x:v>143</x:v>
      </x:c>
      <x:c r="B870" s="73" t="n">
        <x:v>5</x:v>
      </x:c>
      <x:c r="C870" s="73" t="str">
        <x:f>INDEX(Drivers!$B$8:$B$13,B870)</x:f>
        <x:v>青锋</x:v>
      </x:c>
      <x:c r="D870" s="83" t="n">
        <x:f>G864</x:f>
        <x:v>481.1345401850596</x:v>
      </x:c>
      <x:c r="E870" s="83" t="str">
        <x:f>IF(A870=0,"GRID",IF(D870&gt;=Control!$B$17,"FINISHED",IF(AND(A870&gt;=INDEX(Drivers!$G$8:$G$13,B870),A870&lt;INDEX(Drivers!$G$8:$G$13,B870)+INDEX(Drivers!$J$8:$J$13,B870)),"PIT",IF(MOD(A870+INDEX(Drivers!$F$8:$F$13,B870),Control!$B$11)&lt;Control!$B$13,"BOOST","RACE"))))</x:f>
        <x:v>RACE</x:v>
      </x:c>
      <x:c r="F870" s="83" t="n">
        <x:f>IF(OR(E870="GRID",E870="FINISHED",E870="PIT"),0,MAX(Control!$B$15,(INDEX(Drivers!$D$8:$D$13,B870)+INDEX(Drivers!$E$8:$E$13,B870)*SIN((A870+INDEX(Drivers!$F$8:$F$13,B870)+Control!$B$16)*Control!$B$14))*INDEX(TrackMap!$M$8:$M$141,MOD(INT(D870)-1,Control!$B$7)+1)*IF(E870="BOOST",Control!$B$12,1)))</x:f>
        <x:v>2.880060135660803</x:v>
      </x:c>
      <x:c r="G870" s="83" t="n">
        <x:f>IF(A870=0,D870,MIN(Control!$B$17,D870+F870))</x:f>
        <x:v>484.01460032072043</x:v>
      </x:c>
      <x:c r="H870" s="73" t="n">
        <x:f>MOD(INT(G870)-1,Control!$B$7)+1</x:f>
        <x:v>82</x:v>
      </x:c>
      <x:c r="I870" s="73" t="n">
        <x:f>MIN(Control!$B$6,MAX(1,INT(MAX(0,G870)/Control!$B$7)+1))</x:f>
        <x:v>4</x:v>
      </x:c>
      <x:c r="J870" s="73" t="n">
        <x:f>INDEX(Drivers!$H$8:$H$13,B870)</x:f>
        <x:v>1</x:v>
      </x:c>
      <x:c r="K870" s="73" t="n">
        <x:f>IF(J870=1,INDEX(TrackMap!$I$8:$I$141,H870),INDEX(TrackMap!$L$8:$L$141,H870))</x:f>
        <x:v>1152</x:v>
      </x:c>
      <x:c r="L870" s="73" t="str">
        <x:f>INDEX(TrackMap!$F$8:$F$141,H870)</x:f>
        <x:v>↓</x:v>
      </x:c>
      <x:c r="M870" s="87" t="n">
        <x:f>MAX(0,G870/Control!$B$17)</x:f>
        <x:v>0.7224098512249558</x:v>
      </x:c>
      <x:c r="N870" s="73" t="n">
        <x:f>IF(N864&gt;0,N864,IF(G870&gt;=Control!$B$17,A870,0))</x:f>
        <x:v>0</x:v>
      </x:c>
      <x:c r="O870" s="91" t="n">
        <x:f>IF(N870&gt;0,Control!$B$17+Control!$B$8+1-N870,G870)-B870/100000</x:f>
        <x:v>484.01455032072045</x:v>
      </x:c>
      <x:c r="P870" s="73" t="n">
        <x:f>COUNTIF($O$866:$O$871,"&gt;"&amp;O870)+1</x:f>
        <x:v>4</x:v>
      </x:c>
      <x:c r="Q870" s="83" t="n">
        <x:f>MAX($G$866:$G$871)-G870</x:f>
        <x:v>11.993216777950522</x:v>
      </x:c>
      <x:c r="R870" s="73" t="str">
        <x:f>INDEX(TrackMap!$B$8:$B$141,H870)</x:f>
        <x:v>东侧长直道</x:v>
      </x:c>
    </x:row>
    <x:row r="871" ht="20" customHeight="1">
      <x:c r="A871" s="73" t="n">
        <x:v>143</x:v>
      </x:c>
      <x:c r="B871" s="73" t="n">
        <x:v>6</x:v>
      </x:c>
      <x:c r="C871" s="73" t="str">
        <x:f>INDEX(Drivers!$B$8:$B$13,B871)</x:f>
        <x:v>玫速</x:v>
      </x:c>
      <x:c r="D871" s="83" t="n">
        <x:f>G865</x:f>
        <x:v>491.54399139091606</x:v>
      </x:c>
      <x:c r="E871" s="83" t="str">
        <x:f>IF(A871=0,"GRID",IF(D871&gt;=Control!$B$17,"FINISHED",IF(AND(A871&gt;=INDEX(Drivers!$G$8:$G$13,B871),A871&lt;INDEX(Drivers!$G$8:$G$13,B871)+INDEX(Drivers!$J$8:$J$13,B871)),"PIT",IF(MOD(A871+INDEX(Drivers!$F$8:$F$13,B871),Control!$B$11)&lt;Control!$B$13,"BOOST","RACE"))))</x:f>
        <x:v>BOOST</x:v>
      </x:c>
      <x:c r="F871" s="83" t="n">
        <x:f>IF(OR(E871="GRID",E871="FINISHED",E871="PIT"),0,MAX(Control!$B$15,(INDEX(Drivers!$D$8:$D$13,B871)+INDEX(Drivers!$E$8:$E$13,B871)*SIN((A871+INDEX(Drivers!$F$8:$F$13,B871)+Control!$B$16)*Control!$B$14))*INDEX(TrackMap!$M$8:$M$141,MOD(INT(D871)-1,Control!$B$7)+1)*IF(E871="BOOST",Control!$B$12,1)))</x:f>
        <x:v>4.463825707754887</x:v>
      </x:c>
      <x:c r="G871" s="83" t="n">
        <x:f>IF(A871=0,D871,MIN(Control!$B$17,D871+F871))</x:f>
        <x:v>496.00781709867096</x:v>
      </x:c>
      <x:c r="H871" s="73" t="n">
        <x:f>MOD(INT(G871)-1,Control!$B$7)+1</x:f>
        <x:v>94</x:v>
      </x:c>
      <x:c r="I871" s="73" t="n">
        <x:f>MIN(Control!$B$6,MAX(1,INT(MAX(0,G871)/Control!$B$7)+1))</x:f>
        <x:v>4</x:v>
      </x:c>
      <x:c r="J871" s="73" t="n">
        <x:f>INDEX(Drivers!$H$8:$H$13,B871)</x:f>
        <x:v>2</x:v>
      </x:c>
      <x:c r="K871" s="73" t="n">
        <x:f>IF(J871=1,INDEX(TrackMap!$I$8:$I$141,H871),INDEX(TrackMap!$L$8:$L$141,H871))</x:f>
        <x:v>2351</x:v>
      </x:c>
      <x:c r="L871" s="73" t="str">
        <x:f>INDEX(TrackMap!$F$8:$F$141,H871)</x:f>
        <x:v>↓</x:v>
      </x:c>
      <x:c r="M871" s="87" t="n">
        <x:f>MAX(0,G871/Control!$B$17)</x:f>
        <x:v>0.7403101747741357</x:v>
      </x:c>
      <x:c r="N871" s="73" t="n">
        <x:f>IF(N865&gt;0,N865,IF(G871&gt;=Control!$B$17,A871,0))</x:f>
        <x:v>0</x:v>
      </x:c>
      <x:c r="O871" s="91" t="n">
        <x:f>IF(N871&gt;0,Control!$B$17+Control!$B$8+1-N871,G871)-B871/100000</x:f>
        <x:v>496.00775709867094</x:v>
      </x:c>
      <x:c r="P871" s="73" t="n">
        <x:f>COUNTIF($O$866:$O$871,"&gt;"&amp;O871)+1</x:f>
        <x:v>1</x:v>
      </x:c>
      <x:c r="Q871" s="83" t="n">
        <x:f>MAX($G$866:$G$871)-G871</x:f>
        <x:v>0</x:v>
      </x:c>
      <x:c r="R871" s="73" t="str">
        <x:f>INDEX(TrackMap!$B$8:$B$141,H871)</x:f>
        <x:v>东侧长直道</x:v>
      </x:c>
    </x:row>
    <x:row r="872" ht="20" customHeight="1">
      <x:c r="A872" s="73" t="n">
        <x:v>144</x:v>
      </x:c>
      <x:c r="B872" s="73" t="n">
        <x:v>1</x:v>
      </x:c>
      <x:c r="C872" s="73" t="str">
        <x:f>INDEX(Drivers!$B$8:$B$13,B872)</x:f>
        <x:v>赤焰</x:v>
      </x:c>
      <x:c r="D872" s="83" t="n">
        <x:f>G866</x:f>
        <x:v>488.33793481116675</x:v>
      </x:c>
      <x:c r="E872" s="83" t="str">
        <x:f>IF(A872=0,"GRID",IF(D872&gt;=Control!$B$17,"FINISHED",IF(AND(A872&gt;=INDEX(Drivers!$G$8:$G$13,B872),A872&lt;INDEX(Drivers!$G$8:$G$13,B872)+INDEX(Drivers!$J$8:$J$13,B872)),"PIT",IF(MOD(A872+INDEX(Drivers!$F$8:$F$13,B872),Control!$B$11)&lt;Control!$B$13,"BOOST","RACE"))))</x:f>
        <x:v>RACE</x:v>
      </x:c>
      <x:c r="F872" s="83" t="n">
        <x:f>IF(OR(E872="GRID",E872="FINISHED",E872="PIT"),0,MAX(Control!$B$15,(INDEX(Drivers!$D$8:$D$13,B872)+INDEX(Drivers!$E$8:$E$13,B872)*SIN((A872+INDEX(Drivers!$F$8:$F$13,B872)+Control!$B$16)*Control!$B$14))*INDEX(TrackMap!$M$8:$M$141,MOD(INT(D872)-1,Control!$B$7)+1)*IF(E872="BOOST",Control!$B$12,1)))</x:f>
        <x:v>4.16841669635873</x:v>
      </x:c>
      <x:c r="G872" s="83" t="n">
        <x:f>IF(A872=0,D872,MIN(Control!$B$17,D872+F872))</x:f>
        <x:v>492.5063515075255</x:v>
      </x:c>
      <x:c r="H872" s="73" t="n">
        <x:f>MOD(INT(G872)-1,Control!$B$7)+1</x:f>
        <x:v>90</x:v>
      </x:c>
      <x:c r="I872" s="73" t="n">
        <x:f>MIN(Control!$B$6,MAX(1,INT(MAX(0,G872)/Control!$B$7)+1))</x:f>
        <x:v>4</x:v>
      </x:c>
      <x:c r="J872" s="73" t="n">
        <x:f>INDEX(Drivers!$H$8:$H$13,B872)</x:f>
        <x:v>1</x:v>
      </x:c>
      <x:c r="K872" s="73" t="n">
        <x:f>IF(J872=1,INDEX(TrackMap!$I$8:$I$141,H872),INDEX(TrackMap!$L$8:$L$141,H872))</x:f>
        <x:v>1952</x:v>
      </x:c>
      <x:c r="L872" s="73" t="str">
        <x:f>INDEX(TrackMap!$F$8:$F$141,H872)</x:f>
        <x:v>↓</x:v>
      </x:c>
      <x:c r="M872" s="87" t="n">
        <x:f>MAX(0,G872/Control!$B$17)</x:f>
        <x:v>0.73508410672765</x:v>
      </x:c>
      <x:c r="N872" s="73" t="n">
        <x:f>IF(N866&gt;0,N866,IF(G872&gt;=Control!$B$17,A872,0))</x:f>
        <x:v>0</x:v>
      </x:c>
      <x:c r="O872" s="91" t="n">
        <x:f>IF(N872&gt;0,Control!$B$17+Control!$B$8+1-N872,G872)-B872/100000</x:f>
        <x:v>492.5063415075255</x:v>
      </x:c>
      <x:c r="P872" s="73" t="n">
        <x:f>COUNTIF($O$872:$O$877,"&gt;"&amp;O872)+1</x:f>
        <x:v>2</x:v>
      </x:c>
      <x:c r="Q872" s="83" t="n">
        <x:f>MAX($G$872:$G$877)-G872</x:f>
        <x:v>8.22866068680213</x:v>
      </x:c>
      <x:c r="R872" s="73" t="str">
        <x:f>INDEX(TrackMap!$B$8:$B$141,H872)</x:f>
        <x:v>东侧长直道</x:v>
      </x:c>
    </x:row>
    <x:row r="873" ht="20" customHeight="1">
      <x:c r="A873" s="73" t="n">
        <x:v>144</x:v>
      </x:c>
      <x:c r="B873" s="73" t="n">
        <x:v>2</x:v>
      </x:c>
      <x:c r="C873" s="73" t="str">
        <x:f>INDEX(Drivers!$B$8:$B$13,B873)</x:f>
        <x:v>蓝电</x:v>
      </x:c>
      <x:c r="D873" s="83" t="n">
        <x:f>G867</x:f>
        <x:v>471.93254651212004</x:v>
      </x:c>
      <x:c r="E873" s="83" t="str">
        <x:f>IF(A873=0,"GRID",IF(D873&gt;=Control!$B$17,"FINISHED",IF(AND(A873&gt;=INDEX(Drivers!$G$8:$G$13,B873),A873&lt;INDEX(Drivers!$G$8:$G$13,B873)+INDEX(Drivers!$J$8:$J$13,B873)),"PIT",IF(MOD(A873+INDEX(Drivers!$F$8:$F$13,B873),Control!$B$11)&lt;Control!$B$13,"BOOST","RACE"))))</x:f>
        <x:v>RACE</x:v>
      </x:c>
      <x:c r="F873" s="83" t="n">
        <x:f>IF(OR(E873="GRID",E873="FINISHED",E873="PIT"),0,MAX(Control!$B$15,(INDEX(Drivers!$D$8:$D$13,B873)+INDEX(Drivers!$E$8:$E$13,B873)*SIN((A873+INDEX(Drivers!$F$8:$F$13,B873)+Control!$B$16)*Control!$B$14))*INDEX(TrackMap!$M$8:$M$141,MOD(INT(D873)-1,Control!$B$7)+1)*IF(E873="BOOST",Control!$B$12,1)))</x:f>
        <x:v>2.99331395216819</x:v>
      </x:c>
      <x:c r="G873" s="83" t="n">
        <x:f>IF(A873=0,D873,MIN(Control!$B$17,D873+F873))</x:f>
        <x:v>474.92586046428823</x:v>
      </x:c>
      <x:c r="H873" s="73" t="n">
        <x:f>MOD(INT(G873)-1,Control!$B$7)+1</x:f>
        <x:v>72</x:v>
      </x:c>
      <x:c r="I873" s="73" t="n">
        <x:f>MIN(Control!$B$6,MAX(1,INT(MAX(0,G873)/Control!$B$7)+1))</x:f>
        <x:v>4</x:v>
      </x:c>
      <x:c r="J873" s="73" t="n">
        <x:f>INDEX(Drivers!$H$8:$H$13,B873)</x:f>
        <x:v>2</x:v>
      </x:c>
      <x:c r="K873" s="73" t="n">
        <x:f>IF(J873=1,INDEX(TrackMap!$I$8:$I$141,H873),INDEX(TrackMap!$L$8:$L$141,H873))</x:f>
        <x:v>1445</x:v>
      </x:c>
      <x:c r="L873" s="73" t="str">
        <x:f>INDEX(TrackMap!$F$8:$F$141,H873)</x:f>
        <x:v>↑</x:v>
      </x:c>
      <x:c r="M873" s="87" t="n">
        <x:f>MAX(0,G873/Control!$B$17)</x:f>
        <x:v>0.7088445678571467</x:v>
      </x:c>
      <x:c r="N873" s="73" t="n">
        <x:f>IF(N867&gt;0,N867,IF(G873&gt;=Control!$B$17,A873,0))</x:f>
        <x:v>0</x:v>
      </x:c>
      <x:c r="O873" s="91" t="n">
        <x:f>IF(N873&gt;0,Control!$B$17+Control!$B$8+1-N873,G873)-B873/100000</x:f>
        <x:v>474.9258404642882</x:v>
      </x:c>
      <x:c r="P873" s="73" t="n">
        <x:f>COUNTIF($O$872:$O$877,"&gt;"&amp;O873)+1</x:f>
        <x:v>6</x:v>
      </x:c>
      <x:c r="Q873" s="83" t="n">
        <x:f>MAX($G$872:$G$877)-G873</x:f>
        <x:v>25.80915173003939</x:v>
      </x:c>
      <x:c r="R873" s="73" t="str">
        <x:f>INDEX(TrackMap!$B$8:$B$141,H873)</x:f>
        <x:v>东侧上行弯</x:v>
      </x:c>
    </x:row>
    <x:row r="874" ht="20" customHeight="1">
      <x:c r="A874" s="73" t="n">
        <x:v>144</x:v>
      </x:c>
      <x:c r="B874" s="73" t="n">
        <x:v>3</x:v>
      </x:c>
      <x:c r="C874" s="73" t="str">
        <x:f>INDEX(Drivers!$B$8:$B$13,B874)</x:f>
        <x:v>金翼</x:v>
      </x:c>
      <x:c r="D874" s="83" t="n">
        <x:f>G868</x:f>
        <x:v>486.3114504535668</x:v>
      </x:c>
      <x:c r="E874" s="83" t="str">
        <x:f>IF(A874=0,"GRID",IF(D874&gt;=Control!$B$17,"FINISHED",IF(AND(A874&gt;=INDEX(Drivers!$G$8:$G$13,B874),A874&lt;INDEX(Drivers!$G$8:$G$13,B874)+INDEX(Drivers!$J$8:$J$13,B874)),"PIT",IF(MOD(A874+INDEX(Drivers!$F$8:$F$13,B874),Control!$B$11)&lt;Control!$B$13,"BOOST","RACE"))))</x:f>
        <x:v>RACE</x:v>
      </x:c>
      <x:c r="F874" s="83" t="n">
        <x:f>IF(OR(E874="GRID",E874="FINISHED",E874="PIT"),0,MAX(Control!$B$15,(INDEX(Drivers!$D$8:$D$13,B874)+INDEX(Drivers!$E$8:$E$13,B874)*SIN((A874+INDEX(Drivers!$F$8:$F$13,B874)+Control!$B$16)*Control!$B$14))*INDEX(TrackMap!$M$8:$M$141,MOD(INT(D874)-1,Control!$B$7)+1)*IF(E874="BOOST",Control!$B$12,1)))</x:f>
        <x:v>4.061504120723251</x:v>
      </x:c>
      <x:c r="G874" s="83" t="n">
        <x:f>IF(A874=0,D874,MIN(Control!$B$17,D874+F874))</x:f>
        <x:v>490.3729545742901</x:v>
      </x:c>
      <x:c r="H874" s="73" t="n">
        <x:f>MOD(INT(G874)-1,Control!$B$7)+1</x:f>
        <x:v>88</x:v>
      </x:c>
      <x:c r="I874" s="73" t="n">
        <x:f>MIN(Control!$B$6,MAX(1,INT(MAX(0,G874)/Control!$B$7)+1))</x:f>
        <x:v>4</x:v>
      </x:c>
      <x:c r="J874" s="73" t="n">
        <x:f>INDEX(Drivers!$H$8:$H$13,B874)</x:f>
        <x:v>1</x:v>
      </x:c>
      <x:c r="K874" s="73" t="n">
        <x:f>IF(J874=1,INDEX(TrackMap!$I$8:$I$141,H874),INDEX(TrackMap!$L$8:$L$141,H874))</x:f>
        <x:v>1752</x:v>
      </x:c>
      <x:c r="L874" s="73" t="str">
        <x:f>INDEX(TrackMap!$F$8:$F$141,H874)</x:f>
        <x:v>↓</x:v>
      </x:c>
      <x:c r="M874" s="87" t="n">
        <x:f>MAX(0,G874/Control!$B$17)</x:f>
        <x:v>0.7318999322004329</x:v>
      </x:c>
      <x:c r="N874" s="73" t="n">
        <x:f>IF(N868&gt;0,N868,IF(G874&gt;=Control!$B$17,A874,0))</x:f>
        <x:v>0</x:v>
      </x:c>
      <x:c r="O874" s="91" t="n">
        <x:f>IF(N874&gt;0,Control!$B$17+Control!$B$8+1-N874,G874)-B874/100000</x:f>
        <x:v>490.3729245742901</x:v>
      </x:c>
      <x:c r="P874" s="73" t="n">
        <x:f>COUNTIF($O$872:$O$877,"&gt;"&amp;O874)+1</x:f>
        <x:v>3</x:v>
      </x:c>
      <x:c r="Q874" s="83" t="n">
        <x:f>MAX($G$872:$G$877)-G874</x:f>
        <x:v>10.362057620037547</x:v>
      </x:c>
      <x:c r="R874" s="73" t="str">
        <x:f>INDEX(TrackMap!$B$8:$B$141,H874)</x:f>
        <x:v>东侧长直道</x:v>
      </x:c>
    </x:row>
    <x:row r="875" ht="20" customHeight="1">
      <x:c r="A875" s="73" t="n">
        <x:v>144</x:v>
      </x:c>
      <x:c r="B875" s="73" t="n">
        <x:v>4</x:v>
      </x:c>
      <x:c r="C875" s="73" t="str">
        <x:f>INDEX(Drivers!$B$8:$B$13,B875)</x:f>
        <x:v>紫影</x:v>
      </x:c>
      <x:c r="D875" s="83" t="n">
        <x:f>G869</x:f>
        <x:v>480.45649317008326</x:v>
      </x:c>
      <x:c r="E875" s="83" t="str">
        <x:f>IF(A875=0,"GRID",IF(D875&gt;=Control!$B$17,"FINISHED",IF(AND(A875&gt;=INDEX(Drivers!$G$8:$G$13,B875),A875&lt;INDEX(Drivers!$G$8:$G$13,B875)+INDEX(Drivers!$J$8:$J$13,B875)),"PIT",IF(MOD(A875+INDEX(Drivers!$F$8:$F$13,B875),Control!$B$11)&lt;Control!$B$13,"BOOST","RACE"))))</x:f>
        <x:v>RACE</x:v>
      </x:c>
      <x:c r="F875" s="83" t="n">
        <x:f>IF(OR(E875="GRID",E875="FINISHED",E875="PIT"),0,MAX(Control!$B$15,(INDEX(Drivers!$D$8:$D$13,B875)+INDEX(Drivers!$E$8:$E$13,B875)*SIN((A875+INDEX(Drivers!$F$8:$F$13,B875)+Control!$B$16)*Control!$B$14))*INDEX(TrackMap!$M$8:$M$141,MOD(INT(D875)-1,Control!$B$7)+1)*IF(E875="BOOST",Control!$B$12,1)))</x:f>
        <x:v>2.693203899088636</x:v>
      </x:c>
      <x:c r="G875" s="83" t="n">
        <x:f>IF(A875=0,D875,MIN(Control!$B$17,D875+F875))</x:f>
        <x:v>483.1496970691719</x:v>
      </x:c>
      <x:c r="H875" s="73" t="n">
        <x:f>MOD(INT(G875)-1,Control!$B$7)+1</x:f>
        <x:v>81</x:v>
      </x:c>
      <x:c r="I875" s="73" t="n">
        <x:f>MIN(Control!$B$6,MAX(1,INT(MAX(0,G875)/Control!$B$7)+1))</x:f>
        <x:v>4</x:v>
      </x:c>
      <x:c r="J875" s="73" t="n">
        <x:f>INDEX(Drivers!$H$8:$H$13,B875)</x:f>
        <x:v>2</x:v>
      </x:c>
      <x:c r="K875" s="73" t="n">
        <x:f>IF(J875=1,INDEX(TrackMap!$I$8:$I$141,H875),INDEX(TrackMap!$L$8:$L$141,H875))</x:f>
        <x:v>1050</x:v>
      </x:c>
      <x:c r="L875" s="73" t="str">
        <x:f>INDEX(TrackMap!$F$8:$F$141,H875)</x:f>
        <x:v>↓</x:v>
      </x:c>
      <x:c r="M875" s="87" t="n">
        <x:f>MAX(0,G875/Control!$B$17)</x:f>
        <x:v>0.7211189508495103</x:v>
      </x:c>
      <x:c r="N875" s="73" t="n">
        <x:f>IF(N869&gt;0,N869,IF(G875&gt;=Control!$B$17,A875,0))</x:f>
        <x:v>0</x:v>
      </x:c>
      <x:c r="O875" s="91" t="n">
        <x:f>IF(N875&gt;0,Control!$B$17+Control!$B$8+1-N875,G875)-B875/100000</x:f>
        <x:v>483.1496570691719</x:v>
      </x:c>
      <x:c r="P875" s="73" t="n">
        <x:f>COUNTIF($O$872:$O$877,"&gt;"&amp;O875)+1</x:f>
        <x:v>5</x:v>
      </x:c>
      <x:c r="Q875" s="83" t="n">
        <x:f>MAX($G$872:$G$877)-G875</x:f>
        <x:v>17.585315125155716</x:v>
      </x:c>
      <x:c r="R875" s="73" t="str">
        <x:f>INDEX(TrackMap!$B$8:$B$141,H875)</x:f>
        <x:v>东侧发卡弯</x:v>
      </x:c>
    </x:row>
    <x:row r="876" ht="20" customHeight="1">
      <x:c r="A876" s="73" t="n">
        <x:v>144</x:v>
      </x:c>
      <x:c r="B876" s="73" t="n">
        <x:v>5</x:v>
      </x:c>
      <x:c r="C876" s="73" t="str">
        <x:f>INDEX(Drivers!$B$8:$B$13,B876)</x:f>
        <x:v>青锋</x:v>
      </x:c>
      <x:c r="D876" s="83" t="n">
        <x:f>G870</x:f>
        <x:v>484.01460032072043</x:v>
      </x:c>
      <x:c r="E876" s="83" t="str">
        <x:f>IF(A876=0,"GRID",IF(D876&gt;=Control!$B$17,"FINISHED",IF(AND(A876&gt;=INDEX(Drivers!$G$8:$G$13,B876),A876&lt;INDEX(Drivers!$G$8:$G$13,B876)+INDEX(Drivers!$J$8:$J$13,B876)),"PIT",IF(MOD(A876+INDEX(Drivers!$F$8:$F$13,B876),Control!$B$11)&lt;Control!$B$13,"BOOST","RACE"))))</x:f>
        <x:v>RACE</x:v>
      </x:c>
      <x:c r="F876" s="83" t="n">
        <x:f>IF(OR(E876="GRID",E876="FINISHED",E876="PIT"),0,MAX(Control!$B$15,(INDEX(Drivers!$D$8:$D$13,B876)+INDEX(Drivers!$E$8:$E$13,B876)*SIN((A876+INDEX(Drivers!$F$8:$F$13,B876)+Control!$B$16)*Control!$B$14))*INDEX(TrackMap!$M$8:$M$141,MOD(INT(D876)-1,Control!$B$7)+1)*IF(E876="BOOST",Control!$B$12,1)))</x:f>
        <x:v>2.731155299507375</x:v>
      </x:c>
      <x:c r="G876" s="83" t="n">
        <x:f>IF(A876=0,D876,MIN(Control!$B$17,D876+F876))</x:f>
        <x:v>486.7457556202278</x:v>
      </x:c>
      <x:c r="H876" s="73" t="n">
        <x:f>MOD(INT(G876)-1,Control!$B$7)+1</x:f>
        <x:v>84</x:v>
      </x:c>
      <x:c r="I876" s="73" t="n">
        <x:f>MIN(Control!$B$6,MAX(1,INT(MAX(0,G876)/Control!$B$7)+1))</x:f>
        <x:v>4</x:v>
      </x:c>
      <x:c r="J876" s="73" t="n">
        <x:f>INDEX(Drivers!$H$8:$H$13,B876)</x:f>
        <x:v>1</x:v>
      </x:c>
      <x:c r="K876" s="73" t="n">
        <x:f>IF(J876=1,INDEX(TrackMap!$I$8:$I$141,H876),INDEX(TrackMap!$L$8:$L$141,H876))</x:f>
        <x:v>1352</x:v>
      </x:c>
      <x:c r="L876" s="73" t="str">
        <x:f>INDEX(TrackMap!$F$8:$F$141,H876)</x:f>
        <x:v>↓</x:v>
      </x:c>
      <x:c r="M876" s="87" t="n">
        <x:f>MAX(0,G876/Control!$B$17)</x:f>
        <x:v>0.7264862024182505</x:v>
      </x:c>
      <x:c r="N876" s="73" t="n">
        <x:f>IF(N870&gt;0,N870,IF(G876&gt;=Control!$B$17,A876,0))</x:f>
        <x:v>0</x:v>
      </x:c>
      <x:c r="O876" s="91" t="n">
        <x:f>IF(N876&gt;0,Control!$B$17+Control!$B$8+1-N876,G876)-B876/100000</x:f>
        <x:v>486.7457056202278</x:v>
      </x:c>
      <x:c r="P876" s="73" t="n">
        <x:f>COUNTIF($O$872:$O$877,"&gt;"&amp;O876)+1</x:f>
        <x:v>4</x:v>
      </x:c>
      <x:c r="Q876" s="83" t="n">
        <x:f>MAX($G$872:$G$877)-G876</x:f>
        <x:v>13.98925657409984</x:v>
      </x:c>
      <x:c r="R876" s="73" t="str">
        <x:f>INDEX(TrackMap!$B$8:$B$141,H876)</x:f>
        <x:v>东侧长直道</x:v>
      </x:c>
    </x:row>
    <x:row r="877" ht="20" customHeight="1">
      <x:c r="A877" s="73" t="n">
        <x:v>144</x:v>
      </x:c>
      <x:c r="B877" s="73" t="n">
        <x:v>6</x:v>
      </x:c>
      <x:c r="C877" s="73" t="str">
        <x:f>INDEX(Drivers!$B$8:$B$13,B877)</x:f>
        <x:v>玫速</x:v>
      </x:c>
      <x:c r="D877" s="83" t="n">
        <x:f>G871</x:f>
        <x:v>496.00781709867096</x:v>
      </x:c>
      <x:c r="E877" s="83" t="str">
        <x:f>IF(A877=0,"GRID",IF(D877&gt;=Control!$B$17,"FINISHED",IF(AND(A877&gt;=INDEX(Drivers!$G$8:$G$13,B877),A877&lt;INDEX(Drivers!$G$8:$G$13,B877)+INDEX(Drivers!$J$8:$J$13,B877)),"PIT",IF(MOD(A877+INDEX(Drivers!$F$8:$F$13,B877),Control!$B$11)&lt;Control!$B$13,"BOOST","RACE"))))</x:f>
        <x:v>BOOST</x:v>
      </x:c>
      <x:c r="F877" s="83" t="n">
        <x:f>IF(OR(E877="GRID",E877="FINISHED",E877="PIT"),0,MAX(Control!$B$15,(INDEX(Drivers!$D$8:$D$13,B877)+INDEX(Drivers!$E$8:$E$13,B877)*SIN((A877+INDEX(Drivers!$F$8:$F$13,B877)+Control!$B$16)*Control!$B$14))*INDEX(TrackMap!$M$8:$M$141,MOD(INT(D877)-1,Control!$B$7)+1)*IF(E877="BOOST",Control!$B$12,1)))</x:f>
        <x:v>4.727195095656669</x:v>
      </x:c>
      <x:c r="G877" s="83" t="n">
        <x:f>IF(A877=0,D877,MIN(Control!$B$17,D877+F877))</x:f>
        <x:v>500.7350121943276</x:v>
      </x:c>
      <x:c r="H877" s="73" t="n">
        <x:f>MOD(INT(G877)-1,Control!$B$7)+1</x:f>
        <x:v>98</x:v>
      </x:c>
      <x:c r="I877" s="73" t="n">
        <x:f>MIN(Control!$B$6,MAX(1,INT(MAX(0,G877)/Control!$B$7)+1))</x:f>
        <x:v>4</x:v>
      </x:c>
      <x:c r="J877" s="73" t="n">
        <x:f>INDEX(Drivers!$H$8:$H$13,B877)</x:f>
        <x:v>2</x:v>
      </x:c>
      <x:c r="K877" s="73" t="n">
        <x:f>IF(J877=1,INDEX(TrackMap!$I$8:$I$141,H877),INDEX(TrackMap!$L$8:$L$141,H877))</x:f>
        <x:v>2751</x:v>
      </x:c>
      <x:c r="L877" s="73" t="str">
        <x:f>INDEX(TrackMap!$F$8:$F$141,H877)</x:f>
        <x:v>↓</x:v>
      </x:c>
      <x:c r="M877" s="87" t="n">
        <x:f>MAX(0,G877/Control!$B$17)</x:f>
        <x:v>0.74736568984228</x:v>
      </x:c>
      <x:c r="N877" s="73" t="n">
        <x:f>IF(N871&gt;0,N871,IF(G877&gt;=Control!$B$17,A877,0))</x:f>
        <x:v>0</x:v>
      </x:c>
      <x:c r="O877" s="91" t="n">
        <x:f>IF(N877&gt;0,Control!$B$17+Control!$B$8+1-N877,G877)-B877/100000</x:f>
        <x:v>500.7349521943276</x:v>
      </x:c>
      <x:c r="P877" s="73" t="n">
        <x:f>COUNTIF($O$872:$O$877,"&gt;"&amp;O877)+1</x:f>
        <x:v>1</x:v>
      </x:c>
      <x:c r="Q877" s="83" t="n">
        <x:f>MAX($G$872:$G$877)-G877</x:f>
        <x:v>0</x:v>
      </x:c>
      <x:c r="R877" s="73" t="str">
        <x:f>INDEX(TrackMap!$B$8:$B$141,H877)</x:f>
        <x:v>东侧长直道</x:v>
      </x:c>
    </x:row>
    <x:row r="878" ht="20" customHeight="1">
      <x:c r="A878" s="73" t="n">
        <x:v>145</x:v>
      </x:c>
      <x:c r="B878" s="73" t="n">
        <x:v>1</x:v>
      </x:c>
      <x:c r="C878" s="73" t="str">
        <x:f>INDEX(Drivers!$B$8:$B$13,B878)</x:f>
        <x:v>赤焰</x:v>
      </x:c>
      <x:c r="D878" s="83" t="n">
        <x:f>G872</x:f>
        <x:v>492.5063515075255</x:v>
      </x:c>
      <x:c r="E878" s="83" t="str">
        <x:f>IF(A878=0,"GRID",IF(D878&gt;=Control!$B$17,"FINISHED",IF(AND(A878&gt;=INDEX(Drivers!$G$8:$G$13,B878),A878&lt;INDEX(Drivers!$G$8:$G$13,B878)+INDEX(Drivers!$J$8:$J$13,B878)),"PIT",IF(MOD(A878+INDEX(Drivers!$F$8:$F$13,B878),Control!$B$11)&lt;Control!$B$13,"BOOST","RACE"))))</x:f>
        <x:v>RACE</x:v>
      </x:c>
      <x:c r="F878" s="83" t="n">
        <x:f>IF(OR(E878="GRID",E878="FINISHED",E878="PIT"),0,MAX(Control!$B$15,(INDEX(Drivers!$D$8:$D$13,B878)+INDEX(Drivers!$E$8:$E$13,B878)*SIN((A878+INDEX(Drivers!$F$8:$F$13,B878)+Control!$B$16)*Control!$B$14))*INDEX(TrackMap!$M$8:$M$141,MOD(INT(D878)-1,Control!$B$7)+1)*IF(E878="BOOST",Control!$B$12,1)))</x:f>
        <x:v>4.066906844084964</x:v>
      </x:c>
      <x:c r="G878" s="83" t="n">
        <x:f>IF(A878=0,D878,MIN(Control!$B$17,D878+F878))</x:f>
        <x:v>496.57325835161043</x:v>
      </x:c>
      <x:c r="H878" s="73" t="n">
        <x:f>MOD(INT(G878)-1,Control!$B$7)+1</x:f>
        <x:v>94</x:v>
      </x:c>
      <x:c r="I878" s="73" t="n">
        <x:f>MIN(Control!$B$6,MAX(1,INT(MAX(0,G878)/Control!$B$7)+1))</x:f>
        <x:v>4</x:v>
      </x:c>
      <x:c r="J878" s="73" t="n">
        <x:f>INDEX(Drivers!$H$8:$H$13,B878)</x:f>
        <x:v>1</x:v>
      </x:c>
      <x:c r="K878" s="73" t="n">
        <x:f>IF(J878=1,INDEX(TrackMap!$I$8:$I$141,H878),INDEX(TrackMap!$L$8:$L$141,H878))</x:f>
        <x:v>2352</x:v>
      </x:c>
      <x:c r="L878" s="73" t="str">
        <x:f>INDEX(TrackMap!$F$8:$F$141,H878)</x:f>
        <x:v>↓</x:v>
      </x:c>
      <x:c r="M878" s="87" t="n">
        <x:f>MAX(0,G878/Control!$B$17)</x:f>
        <x:v>0.7411541169427022</x:v>
      </x:c>
      <x:c r="N878" s="73" t="n">
        <x:f>IF(N872&gt;0,N872,IF(G878&gt;=Control!$B$17,A878,0))</x:f>
        <x:v>0</x:v>
      </x:c>
      <x:c r="O878" s="91" t="n">
        <x:f>IF(N878&gt;0,Control!$B$17+Control!$B$8+1-N878,G878)-B878/100000</x:f>
        <x:v>496.57324835161046</x:v>
      </x:c>
      <x:c r="P878" s="73" t="n">
        <x:f>COUNTIF($O$878:$O$883,"&gt;"&amp;O878)+1</x:f>
        <x:v>2</x:v>
      </x:c>
      <x:c r="Q878" s="83" t="n">
        <x:f>MAX($G$878:$G$883)-G878</x:f>
        <x:v>4.161753842717189</x:v>
      </x:c>
      <x:c r="R878" s="73" t="str">
        <x:f>INDEX(TrackMap!$B$8:$B$141,H878)</x:f>
        <x:v>东侧长直道</x:v>
      </x:c>
    </x:row>
    <x:row r="879" ht="20" customHeight="1">
      <x:c r="A879" s="73" t="n">
        <x:v>145</x:v>
      </x:c>
      <x:c r="B879" s="73" t="n">
        <x:v>2</x:v>
      </x:c>
      <x:c r="C879" s="73" t="str">
        <x:f>INDEX(Drivers!$B$8:$B$13,B879)</x:f>
        <x:v>蓝电</x:v>
      </x:c>
      <x:c r="D879" s="83" t="n">
        <x:f>G873</x:f>
        <x:v>474.92586046428823</x:v>
      </x:c>
      <x:c r="E879" s="83" t="str">
        <x:f>IF(A879=0,"GRID",IF(D879&gt;=Control!$B$17,"FINISHED",IF(AND(A879&gt;=INDEX(Drivers!$G$8:$G$13,B879),A879&lt;INDEX(Drivers!$G$8:$G$13,B879)+INDEX(Drivers!$J$8:$J$13,B879)),"PIT",IF(MOD(A879+INDEX(Drivers!$F$8:$F$13,B879),Control!$B$11)&lt;Control!$B$13,"BOOST","RACE"))))</x:f>
        <x:v>BOOST</x:v>
      </x:c>
      <x:c r="F879" s="83" t="n">
        <x:f>IF(OR(E879="GRID",E879="FINISHED",E879="PIT"),0,MAX(Control!$B$15,(INDEX(Drivers!$D$8:$D$13,B879)+INDEX(Drivers!$E$8:$E$13,B879)*SIN((A879+INDEX(Drivers!$F$8:$F$13,B879)+Control!$B$16)*Control!$B$14))*INDEX(TrackMap!$M$8:$M$141,MOD(INT(D879)-1,Control!$B$7)+1)*IF(E879="BOOST",Control!$B$12,1)))</x:f>
        <x:v>3.1459037816076307</x:v>
      </x:c>
      <x:c r="G879" s="83" t="n">
        <x:f>IF(A879=0,D879,MIN(Control!$B$17,D879+F879))</x:f>
        <x:v>478.07176424589585</x:v>
      </x:c>
      <x:c r="H879" s="73" t="n">
        <x:f>MOD(INT(G879)-1,Control!$B$7)+1</x:f>
        <x:v>76</x:v>
      </x:c>
      <x:c r="I879" s="73" t="n">
        <x:f>MIN(Control!$B$6,MAX(1,INT(MAX(0,G879)/Control!$B$7)+1))</x:f>
        <x:v>4</x:v>
      </x:c>
      <x:c r="J879" s="73" t="n">
        <x:f>INDEX(Drivers!$H$8:$H$13,B879)</x:f>
        <x:v>2</x:v>
      </x:c>
      <x:c r="K879" s="73" t="n">
        <x:f>IF(J879=1,INDEX(TrackMap!$I$8:$I$141,H879),INDEX(TrackMap!$L$8:$L$141,H879))</x:f>
        <x:v>1045</x:v>
      </x:c>
      <x:c r="L879" s="73" t="str">
        <x:f>INDEX(TrackMap!$F$8:$F$141,H879)</x:f>
        <x:v>↑</x:v>
      </x:c>
      <x:c r="M879" s="87" t="n">
        <x:f>MAX(0,G879/Control!$B$17)</x:f>
        <x:v>0.7135399466356654</x:v>
      </x:c>
      <x:c r="N879" s="73" t="n">
        <x:f>IF(N873&gt;0,N873,IF(G879&gt;=Control!$B$17,A879,0))</x:f>
        <x:v>0</x:v>
      </x:c>
      <x:c r="O879" s="91" t="n">
        <x:f>IF(N879&gt;0,Control!$B$17+Control!$B$8+1-N879,G879)-B879/100000</x:f>
        <x:v>478.07174424589584</x:v>
      </x:c>
      <x:c r="P879" s="73" t="n">
        <x:f>COUNTIF($O$878:$O$883,"&gt;"&amp;O879)+1</x:f>
        <x:v>6</x:v>
      </x:c>
      <x:c r="Q879" s="83" t="n">
        <x:f>MAX($G$878:$G$883)-G879</x:f>
        <x:v>22.663247948431774</x:v>
      </x:c>
      <x:c r="R879" s="73" t="str">
        <x:f>INDEX(TrackMap!$B$8:$B$141,H879)</x:f>
        <x:v>东侧上行弯</x:v>
      </x:c>
    </x:row>
    <x:row r="880" ht="20" customHeight="1">
      <x:c r="A880" s="73" t="n">
        <x:v>145</x:v>
      </x:c>
      <x:c r="B880" s="73" t="n">
        <x:v>3</x:v>
      </x:c>
      <x:c r="C880" s="73" t="str">
        <x:f>INDEX(Drivers!$B$8:$B$13,B880)</x:f>
        <x:v>金翼</x:v>
      </x:c>
      <x:c r="D880" s="83" t="n">
        <x:f>G874</x:f>
        <x:v>490.3729545742901</x:v>
      </x:c>
      <x:c r="E880" s="83" t="str">
        <x:f>IF(A880=0,"GRID",IF(D880&gt;=Control!$B$17,"FINISHED",IF(AND(A880&gt;=INDEX(Drivers!$G$8:$G$13,B880),A880&lt;INDEX(Drivers!$G$8:$G$13,B880)+INDEX(Drivers!$J$8:$J$13,B880)),"PIT",IF(MOD(A880+INDEX(Drivers!$F$8:$F$13,B880),Control!$B$11)&lt;Control!$B$13,"BOOST","RACE"))))</x:f>
        <x:v>RACE</x:v>
      </x:c>
      <x:c r="F880" s="83" t="n">
        <x:f>IF(OR(E880="GRID",E880="FINISHED",E880="PIT"),0,MAX(Control!$B$15,(INDEX(Drivers!$D$8:$D$13,B880)+INDEX(Drivers!$E$8:$E$13,B880)*SIN((A880+INDEX(Drivers!$F$8:$F$13,B880)+Control!$B$16)*Control!$B$14))*INDEX(TrackMap!$M$8:$M$141,MOD(INT(D880)-1,Control!$B$7)+1)*IF(E880="BOOST",Control!$B$12,1)))</x:f>
        <x:v>4.161949272136654</x:v>
      </x:c>
      <x:c r="G880" s="83" t="n">
        <x:f>IF(A880=0,D880,MIN(Control!$B$17,D880+F880))</x:f>
        <x:v>494.53490384642674</x:v>
      </x:c>
      <x:c r="H880" s="73" t="n">
        <x:f>MOD(INT(G880)-1,Control!$B$7)+1</x:f>
        <x:v>92</x:v>
      </x:c>
      <x:c r="I880" s="73" t="n">
        <x:f>MIN(Control!$B$6,MAX(1,INT(MAX(0,G880)/Control!$B$7)+1))</x:f>
        <x:v>4</x:v>
      </x:c>
      <x:c r="J880" s="73" t="n">
        <x:f>INDEX(Drivers!$H$8:$H$13,B880)</x:f>
        <x:v>1</x:v>
      </x:c>
      <x:c r="K880" s="73" t="n">
        <x:f>IF(J880=1,INDEX(TrackMap!$I$8:$I$141,H880),INDEX(TrackMap!$L$8:$L$141,H880))</x:f>
        <x:v>2152</x:v>
      </x:c>
      <x:c r="L880" s="73" t="str">
        <x:f>INDEX(TrackMap!$F$8:$F$141,H880)</x:f>
        <x:v>↓</x:v>
      </x:c>
      <x:c r="M880" s="87" t="n">
        <x:f>MAX(0,G880/Control!$B$17)</x:f>
        <x:v>0.7381117967857116</x:v>
      </x:c>
      <x:c r="N880" s="73" t="n">
        <x:f>IF(N874&gt;0,N874,IF(G880&gt;=Control!$B$17,A880,0))</x:f>
        <x:v>0</x:v>
      </x:c>
      <x:c r="O880" s="91" t="n">
        <x:f>IF(N880&gt;0,Control!$B$17+Control!$B$8+1-N880,G880)-B880/100000</x:f>
        <x:v>494.53487384642676</x:v>
      </x:c>
      <x:c r="P880" s="73" t="n">
        <x:f>COUNTIF($O$878:$O$883,"&gt;"&amp;O880)+1</x:f>
        <x:v>3</x:v>
      </x:c>
      <x:c r="Q880" s="83" t="n">
        <x:f>MAX($G$878:$G$883)-G880</x:f>
        <x:v>6.20010834790088</x:v>
      </x:c>
      <x:c r="R880" s="73" t="str">
        <x:f>INDEX(TrackMap!$B$8:$B$141,H880)</x:f>
        <x:v>东侧长直道</x:v>
      </x:c>
    </x:row>
    <x:row r="881" ht="20" customHeight="1">
      <x:c r="A881" s="73" t="n">
        <x:v>145</x:v>
      </x:c>
      <x:c r="B881" s="73" t="n">
        <x:v>4</x:v>
      </x:c>
      <x:c r="C881" s="73" t="str">
        <x:f>INDEX(Drivers!$B$8:$B$13,B881)</x:f>
        <x:v>紫影</x:v>
      </x:c>
      <x:c r="D881" s="83" t="n">
        <x:f>G875</x:f>
        <x:v>483.1496970691719</x:v>
      </x:c>
      <x:c r="E881" s="83" t="str">
        <x:f>IF(A881=0,"GRID",IF(D881&gt;=Control!$B$17,"FINISHED",IF(AND(A881&gt;=INDEX(Drivers!$G$8:$G$13,B881),A881&lt;INDEX(Drivers!$G$8:$G$13,B881)+INDEX(Drivers!$J$8:$J$13,B881)),"PIT",IF(MOD(A881+INDEX(Drivers!$F$8:$F$13,B881),Control!$B$11)&lt;Control!$B$13,"BOOST","RACE"))))</x:f>
        <x:v>RACE</x:v>
      </x:c>
      <x:c r="F881" s="83" t="n">
        <x:f>IF(OR(E881="GRID",E881="FINISHED",E881="PIT"),0,MAX(Control!$B$15,(INDEX(Drivers!$D$8:$D$13,B881)+INDEX(Drivers!$E$8:$E$13,B881)*SIN((A881+INDEX(Drivers!$F$8:$F$13,B881)+Control!$B$16)*Control!$B$14))*INDEX(TrackMap!$M$8:$M$141,MOD(INT(D881)-1,Control!$B$7)+1)*IF(E881="BOOST",Control!$B$12,1)))</x:f>
        <x:v>2.5427320818480075</x:v>
      </x:c>
      <x:c r="G881" s="83" t="n">
        <x:f>IF(A881=0,D881,MIN(Control!$B$17,D881+F881))</x:f>
        <x:v>485.6924291510199</x:v>
      </x:c>
      <x:c r="H881" s="73" t="n">
        <x:f>MOD(INT(G881)-1,Control!$B$7)+1</x:f>
        <x:v>83</x:v>
      </x:c>
      <x:c r="I881" s="73" t="n">
        <x:f>MIN(Control!$B$6,MAX(1,INT(MAX(0,G881)/Control!$B$7)+1))</x:f>
        <x:v>4</x:v>
      </x:c>
      <x:c r="J881" s="73" t="n">
        <x:f>INDEX(Drivers!$H$8:$H$13,B881)</x:f>
        <x:v>2</x:v>
      </x:c>
      <x:c r="K881" s="73" t="n">
        <x:f>IF(J881=1,INDEX(TrackMap!$I$8:$I$141,H881),INDEX(TrackMap!$L$8:$L$141,H881))</x:f>
        <x:v>1251</x:v>
      </x:c>
      <x:c r="L881" s="73" t="str">
        <x:f>INDEX(TrackMap!$F$8:$F$141,H881)</x:f>
        <x:v>↓</x:v>
      </x:c>
      <x:c r="M881" s="87" t="n">
        <x:f>MAX(0,G881/Control!$B$17)</x:f>
        <x:v>0.7249140733597312</x:v>
      </x:c>
      <x:c r="N881" s="73" t="n">
        <x:f>IF(N875&gt;0,N875,IF(G881&gt;=Control!$B$17,A881,0))</x:f>
        <x:v>0</x:v>
      </x:c>
      <x:c r="O881" s="91" t="n">
        <x:f>IF(N881&gt;0,Control!$B$17+Control!$B$8+1-N881,G881)-B881/100000</x:f>
        <x:v>485.6923891510199</x:v>
      </x:c>
      <x:c r="P881" s="73" t="n">
        <x:f>COUNTIF($O$878:$O$883,"&gt;"&amp;O881)+1</x:f>
        <x:v>5</x:v>
      </x:c>
      <x:c r="Q881" s="83" t="n">
        <x:f>MAX($G$878:$G$883)-G881</x:f>
        <x:v>15.04258304330773</x:v>
      </x:c>
      <x:c r="R881" s="73" t="str">
        <x:f>INDEX(TrackMap!$B$8:$B$141,H881)</x:f>
        <x:v>东侧长直道</x:v>
      </x:c>
    </x:row>
    <x:row r="882" ht="20" customHeight="1">
      <x:c r="A882" s="73" t="n">
        <x:v>145</x:v>
      </x:c>
      <x:c r="B882" s="73" t="n">
        <x:v>5</x:v>
      </x:c>
      <x:c r="C882" s="73" t="str">
        <x:f>INDEX(Drivers!$B$8:$B$13,B882)</x:f>
        <x:v>青锋</x:v>
      </x:c>
      <x:c r="D882" s="83" t="n">
        <x:f>G876</x:f>
        <x:v>486.7457556202278</x:v>
      </x:c>
      <x:c r="E882" s="83" t="str">
        <x:f>IF(A882=0,"GRID",IF(D882&gt;=Control!$B$17,"FINISHED",IF(AND(A882&gt;=INDEX(Drivers!$G$8:$G$13,B882),A882&lt;INDEX(Drivers!$G$8:$G$13,B882)+INDEX(Drivers!$J$8:$J$13,B882)),"PIT",IF(MOD(A882+INDEX(Drivers!$F$8:$F$13,B882),Control!$B$11)&lt;Control!$B$13,"BOOST","RACE"))))</x:f>
        <x:v>RACE</x:v>
      </x:c>
      <x:c r="F882" s="83" t="n">
        <x:f>IF(OR(E882="GRID",E882="FINISHED",E882="PIT"),0,MAX(Control!$B$15,(INDEX(Drivers!$D$8:$D$13,B882)+INDEX(Drivers!$E$8:$E$13,B882)*SIN((A882+INDEX(Drivers!$F$8:$F$13,B882)+Control!$B$16)*Control!$B$14))*INDEX(TrackMap!$M$8:$M$141,MOD(INT(D882)-1,Control!$B$7)+1)*IF(E882="BOOST",Control!$B$12,1)))</x:f>
        <x:v>3.3279719401236827</x:v>
      </x:c>
      <x:c r="G882" s="83" t="n">
        <x:f>IF(A882=0,D882,MIN(Control!$B$17,D882+F882))</x:f>
        <x:v>490.0737275603515</x:v>
      </x:c>
      <x:c r="H882" s="73" t="n">
        <x:f>MOD(INT(G882)-1,Control!$B$7)+1</x:f>
        <x:v>88</x:v>
      </x:c>
      <x:c r="I882" s="73" t="n">
        <x:f>MIN(Control!$B$6,MAX(1,INT(MAX(0,G882)/Control!$B$7)+1))</x:f>
        <x:v>4</x:v>
      </x:c>
      <x:c r="J882" s="73" t="n">
        <x:f>INDEX(Drivers!$H$8:$H$13,B882)</x:f>
        <x:v>1</x:v>
      </x:c>
      <x:c r="K882" s="73" t="n">
        <x:f>IF(J882=1,INDEX(TrackMap!$I$8:$I$141,H882),INDEX(TrackMap!$L$8:$L$141,H882))</x:f>
        <x:v>1752</x:v>
      </x:c>
      <x:c r="L882" s="73" t="str">
        <x:f>INDEX(TrackMap!$F$8:$F$141,H882)</x:f>
        <x:v>↓</x:v>
      </x:c>
      <x:c r="M882" s="87" t="n">
        <x:f>MAX(0,G882/Control!$B$17)</x:f>
        <x:v>0.7314533247169425</x:v>
      </x:c>
      <x:c r="N882" s="73" t="n">
        <x:f>IF(N876&gt;0,N876,IF(G882&gt;=Control!$B$17,A882,0))</x:f>
        <x:v>0</x:v>
      </x:c>
      <x:c r="O882" s="91" t="n">
        <x:f>IF(N882&gt;0,Control!$B$17+Control!$B$8+1-N882,G882)-B882/100000</x:f>
        <x:v>490.0736775603515</x:v>
      </x:c>
      <x:c r="P882" s="73" t="n">
        <x:f>COUNTIF($O$878:$O$883,"&gt;"&amp;O882)+1</x:f>
        <x:v>4</x:v>
      </x:c>
      <x:c r="Q882" s="83" t="n">
        <x:f>MAX($G$878:$G$883)-G882</x:f>
        <x:v>10.661284633976152</x:v>
      </x:c>
      <x:c r="R882" s="73" t="str">
        <x:f>INDEX(TrackMap!$B$8:$B$141,H882)</x:f>
        <x:v>东侧长直道</x:v>
      </x:c>
    </x:row>
    <x:row r="883" ht="20" customHeight="1">
      <x:c r="A883" s="73" t="n">
        <x:v>145</x:v>
      </x:c>
      <x:c r="B883" s="73" t="n">
        <x:v>6</x:v>
      </x:c>
      <x:c r="C883" s="73" t="str">
        <x:f>INDEX(Drivers!$B$8:$B$13,B883)</x:f>
        <x:v>玫速</x:v>
      </x:c>
      <x:c r="D883" s="83" t="n">
        <x:f>G877</x:f>
        <x:v>500.7350121943276</x:v>
      </x:c>
      <x:c r="E883" s="83" t="str">
        <x:f>IF(A883=0,"GRID",IF(D883&gt;=Control!$B$17,"FINISHED",IF(AND(A883&gt;=INDEX(Drivers!$G$8:$G$13,B883),A883&lt;INDEX(Drivers!$G$8:$G$13,B883)+INDEX(Drivers!$J$8:$J$13,B883)),"PIT",IF(MOD(A883+INDEX(Drivers!$F$8:$F$13,B883),Control!$B$11)&lt;Control!$B$13,"BOOST","RACE"))))</x:f>
        <x:v>PIT</x:v>
      </x:c>
      <x:c r="F883" s="83" t="n">
        <x:f>IF(OR(E883="GRID",E883="FINISHED",E883="PIT"),0,MAX(Control!$B$15,(INDEX(Drivers!$D$8:$D$13,B883)+INDEX(Drivers!$E$8:$E$13,B883)*SIN((A883+INDEX(Drivers!$F$8:$F$13,B883)+Control!$B$16)*Control!$B$14))*INDEX(TrackMap!$M$8:$M$141,MOD(INT(D883)-1,Control!$B$7)+1)*IF(E883="BOOST",Control!$B$12,1)))</x:f>
        <x:v>0</x:v>
      </x:c>
      <x:c r="G883" s="83" t="n">
        <x:f>IF(A883=0,D883,MIN(Control!$B$17,D883+F883))</x:f>
        <x:v>500.7350121943276</x:v>
      </x:c>
      <x:c r="H883" s="73" t="n">
        <x:f>MOD(INT(G883)-1,Control!$B$7)+1</x:f>
        <x:v>98</x:v>
      </x:c>
      <x:c r="I883" s="73" t="n">
        <x:f>MIN(Control!$B$6,MAX(1,INT(MAX(0,G883)/Control!$B$7)+1))</x:f>
        <x:v>4</x:v>
      </x:c>
      <x:c r="J883" s="73" t="n">
        <x:f>INDEX(Drivers!$H$8:$H$13,B883)</x:f>
        <x:v>2</x:v>
      </x:c>
      <x:c r="K883" s="73" t="n">
        <x:f>IF(J883=1,INDEX(TrackMap!$I$8:$I$141,H883),INDEX(TrackMap!$L$8:$L$141,H883))</x:f>
        <x:v>2751</x:v>
      </x:c>
      <x:c r="L883" s="73" t="str">
        <x:f>INDEX(TrackMap!$F$8:$F$141,H883)</x:f>
        <x:v>↓</x:v>
      </x:c>
      <x:c r="M883" s="87" t="n">
        <x:f>MAX(0,G883/Control!$B$17)</x:f>
        <x:v>0.74736568984228</x:v>
      </x:c>
      <x:c r="N883" s="73" t="n">
        <x:f>IF(N877&gt;0,N877,IF(G883&gt;=Control!$B$17,A883,0))</x:f>
        <x:v>0</x:v>
      </x:c>
      <x:c r="O883" s="91" t="n">
        <x:f>IF(N883&gt;0,Control!$B$17+Control!$B$8+1-N883,G883)-B883/100000</x:f>
        <x:v>500.7349521943276</x:v>
      </x:c>
      <x:c r="P883" s="73" t="n">
        <x:f>COUNTIF($O$878:$O$883,"&gt;"&amp;O883)+1</x:f>
        <x:v>1</x:v>
      </x:c>
      <x:c r="Q883" s="83" t="n">
        <x:f>MAX($G$878:$G$883)-G883</x:f>
        <x:v>0</x:v>
      </x:c>
      <x:c r="R883" s="73" t="str">
        <x:f>INDEX(TrackMap!$B$8:$B$141,H883)</x:f>
        <x:v>东侧长直道</x:v>
      </x:c>
    </x:row>
    <x:row r="884" ht="20" customHeight="1">
      <x:c r="A884" s="73" t="n">
        <x:v>146</x:v>
      </x:c>
      <x:c r="B884" s="73" t="n">
        <x:v>1</x:v>
      </x:c>
      <x:c r="C884" s="73" t="str">
        <x:f>INDEX(Drivers!$B$8:$B$13,B884)</x:f>
        <x:v>赤焰</x:v>
      </x:c>
      <x:c r="D884" s="83" t="n">
        <x:f>G878</x:f>
        <x:v>496.57325835161043</x:v>
      </x:c>
      <x:c r="E884" s="83" t="str">
        <x:f>IF(A884=0,"GRID",IF(D884&gt;=Control!$B$17,"FINISHED",IF(AND(A884&gt;=INDEX(Drivers!$G$8:$G$13,B884),A884&lt;INDEX(Drivers!$G$8:$G$13,B884)+INDEX(Drivers!$J$8:$J$13,B884)),"PIT",IF(MOD(A884+INDEX(Drivers!$F$8:$F$13,B884),Control!$B$11)&lt;Control!$B$13,"BOOST","RACE"))))</x:f>
        <x:v>RACE</x:v>
      </x:c>
      <x:c r="F884" s="83" t="n">
        <x:f>IF(OR(E884="GRID",E884="FINISHED",E884="PIT"),0,MAX(Control!$B$15,(INDEX(Drivers!$D$8:$D$13,B884)+INDEX(Drivers!$E$8:$E$13,B884)*SIN((A884+INDEX(Drivers!$F$8:$F$13,B884)+Control!$B$16)*Control!$B$14))*INDEX(TrackMap!$M$8:$M$141,MOD(INT(D884)-1,Control!$B$7)+1)*IF(E884="BOOST",Control!$B$12,1)))</x:f>
        <x:v>3.9089706062627125</x:v>
      </x:c>
      <x:c r="G884" s="83" t="n">
        <x:f>IF(A884=0,D884,MIN(Control!$B$17,D884+F884))</x:f>
        <x:v>500.48222895787313</x:v>
      </x:c>
      <x:c r="H884" s="73" t="n">
        <x:f>MOD(INT(G884)-1,Control!$B$7)+1</x:f>
        <x:v>98</x:v>
      </x:c>
      <x:c r="I884" s="73" t="n">
        <x:f>MIN(Control!$B$6,MAX(1,INT(MAX(0,G884)/Control!$B$7)+1))</x:f>
        <x:v>4</x:v>
      </x:c>
      <x:c r="J884" s="73" t="n">
        <x:f>INDEX(Drivers!$H$8:$H$13,B884)</x:f>
        <x:v>1</x:v>
      </x:c>
      <x:c r="K884" s="73" t="n">
        <x:f>IF(J884=1,INDEX(TrackMap!$I$8:$I$141,H884),INDEX(TrackMap!$L$8:$L$141,H884))</x:f>
        <x:v>2752</x:v>
      </x:c>
      <x:c r="L884" s="73" t="str">
        <x:f>INDEX(TrackMap!$F$8:$F$141,H884)</x:f>
        <x:v>↓</x:v>
      </x:c>
      <x:c r="M884" s="87" t="n">
        <x:f>MAX(0,G884/Control!$B$17)</x:f>
        <x:v>0.7469884014296614</x:v>
      </x:c>
      <x:c r="N884" s="73" t="n">
        <x:f>IF(N878&gt;0,N878,IF(G884&gt;=Control!$B$17,A884,0))</x:f>
        <x:v>0</x:v>
      </x:c>
      <x:c r="O884" s="91" t="n">
        <x:f>IF(N884&gt;0,Control!$B$17+Control!$B$8+1-N884,G884)-B884/100000</x:f>
        <x:v>500.48221895787316</x:v>
      </x:c>
      <x:c r="P884" s="73" t="n">
        <x:f>COUNTIF($O$884:$O$889,"&gt;"&amp;O884)+1</x:f>
        <x:v>2</x:v>
      </x:c>
      <x:c r="Q884" s="83" t="n">
        <x:f>MAX($G$884:$G$889)-G884</x:f>
        <x:v>0.25278323645449063</x:v>
      </x:c>
      <x:c r="R884" s="73" t="str">
        <x:f>INDEX(TrackMap!$B$8:$B$141,H884)</x:f>
        <x:v>东侧长直道</x:v>
      </x:c>
    </x:row>
    <x:row r="885" ht="20" customHeight="1">
      <x:c r="A885" s="73" t="n">
        <x:v>146</x:v>
      </x:c>
      <x:c r="B885" s="73" t="n">
        <x:v>2</x:v>
      </x:c>
      <x:c r="C885" s="73" t="str">
        <x:f>INDEX(Drivers!$B$8:$B$13,B885)</x:f>
        <x:v>蓝电</x:v>
      </x:c>
      <x:c r="D885" s="83" t="n">
        <x:f>G879</x:f>
        <x:v>478.07176424589585</x:v>
      </x:c>
      <x:c r="E885" s="83" t="str">
        <x:f>IF(A885=0,"GRID",IF(D885&gt;=Control!$B$17,"FINISHED",IF(AND(A885&gt;=INDEX(Drivers!$G$8:$G$13,B885),A885&lt;INDEX(Drivers!$G$8:$G$13,B885)+INDEX(Drivers!$J$8:$J$13,B885)),"PIT",IF(MOD(A885+INDEX(Drivers!$F$8:$F$13,B885),Control!$B$11)&lt;Control!$B$13,"BOOST","RACE"))))</x:f>
        <x:v>BOOST</x:v>
      </x:c>
      <x:c r="F885" s="83" t="n">
        <x:f>IF(OR(E885="GRID",E885="FINISHED",E885="PIT"),0,MAX(Control!$B$15,(INDEX(Drivers!$D$8:$D$13,B885)+INDEX(Drivers!$E$8:$E$13,B885)*SIN((A885+INDEX(Drivers!$F$8:$F$13,B885)+Control!$B$16)*Control!$B$14))*INDEX(TrackMap!$M$8:$M$141,MOD(INT(D885)-1,Control!$B$7)+1)*IF(E885="BOOST",Control!$B$12,1)))</x:f>
        <x:v>3.224281277193568</x:v>
      </x:c>
      <x:c r="G885" s="83" t="n">
        <x:f>IF(A885=0,D885,MIN(Control!$B$17,D885+F885))</x:f>
        <x:v>481.2960455230894</x:v>
      </x:c>
      <x:c r="H885" s="73" t="n">
        <x:f>MOD(INT(G885)-1,Control!$B$7)+1</x:f>
        <x:v>79</x:v>
      </x:c>
      <x:c r="I885" s="73" t="n">
        <x:f>MIN(Control!$B$6,MAX(1,INT(MAX(0,G885)/Control!$B$7)+1))</x:f>
        <x:v>4</x:v>
      </x:c>
      <x:c r="J885" s="73" t="n">
        <x:f>INDEX(Drivers!$H$8:$H$13,B885)</x:f>
        <x:v>2</x:v>
      </x:c>
      <x:c r="K885" s="73" t="n">
        <x:f>IF(J885=1,INDEX(TrackMap!$I$8:$I$141,H885),INDEX(TrackMap!$L$8:$L$141,H885))</x:f>
        <x:v>948</x:v>
      </x:c>
      <x:c r="L885" s="73" t="str">
        <x:f>INDEX(TrackMap!$F$8:$F$141,H885)</x:f>
        <x:v>→</x:v>
      </x:c>
      <x:c r="M885" s="87" t="n">
        <x:f>MAX(0,G885/Control!$B$17)</x:f>
        <x:v>0.7183523067508797</x:v>
      </x:c>
      <x:c r="N885" s="73" t="n">
        <x:f>IF(N879&gt;0,N879,IF(G885&gt;=Control!$B$17,A885,0))</x:f>
        <x:v>0</x:v>
      </x:c>
      <x:c r="O885" s="91" t="n">
        <x:f>IF(N885&gt;0,Control!$B$17+Control!$B$8+1-N885,G885)-B885/100000</x:f>
        <x:v>481.2960255230894</x:v>
      </x:c>
      <x:c r="P885" s="73" t="n">
        <x:f>COUNTIF($O$884:$O$889,"&gt;"&amp;O885)+1</x:f>
        <x:v>6</x:v>
      </x:c>
      <x:c r="Q885" s="83" t="n">
        <x:f>MAX($G$884:$G$889)-G885</x:f>
        <x:v>19.438966671238234</x:v>
      </x:c>
      <x:c r="R885" s="73" t="str">
        <x:f>INDEX(TrackMap!$B$8:$B$141,H885)</x:f>
        <x:v>东侧发卡弯</x:v>
      </x:c>
    </x:row>
    <x:row r="886" ht="20" customHeight="1">
      <x:c r="A886" s="73" t="n">
        <x:v>146</x:v>
      </x:c>
      <x:c r="B886" s="73" t="n">
        <x:v>3</x:v>
      </x:c>
      <x:c r="C886" s="73" t="str">
        <x:f>INDEX(Drivers!$B$8:$B$13,B886)</x:f>
        <x:v>金翼</x:v>
      </x:c>
      <x:c r="D886" s="83" t="n">
        <x:f>G880</x:f>
        <x:v>494.53490384642674</x:v>
      </x:c>
      <x:c r="E886" s="83" t="str">
        <x:f>IF(A886=0,"GRID",IF(D886&gt;=Control!$B$17,"FINISHED",IF(AND(A886&gt;=INDEX(Drivers!$G$8:$G$13,B886),A886&lt;INDEX(Drivers!$G$8:$G$13,B886)+INDEX(Drivers!$J$8:$J$13,B886)),"PIT",IF(MOD(A886+INDEX(Drivers!$F$8:$F$13,B886),Control!$B$11)&lt;Control!$B$13,"BOOST","RACE"))))</x:f>
        <x:v>RACE</x:v>
      </x:c>
      <x:c r="F886" s="83" t="n">
        <x:f>IF(OR(E886="GRID",E886="FINISHED",E886="PIT"),0,MAX(Control!$B$15,(INDEX(Drivers!$D$8:$D$13,B886)+INDEX(Drivers!$E$8:$E$13,B886)*SIN((A886+INDEX(Drivers!$F$8:$F$13,B886)+Control!$B$16)*Control!$B$14))*INDEX(TrackMap!$M$8:$M$141,MOD(INT(D886)-1,Control!$B$7)+1)*IF(E886="BOOST",Control!$B$12,1)))</x:f>
        <x:v>4.199871756668362</x:v>
      </x:c>
      <x:c r="G886" s="83" t="n">
        <x:f>IF(A886=0,D886,MIN(Control!$B$17,D886+F886))</x:f>
        <x:v>498.7347756030951</x:v>
      </x:c>
      <x:c r="H886" s="73" t="n">
        <x:f>MOD(INT(G886)-1,Control!$B$7)+1</x:f>
        <x:v>96</x:v>
      </x:c>
      <x:c r="I886" s="73" t="n">
        <x:f>MIN(Control!$B$6,MAX(1,INT(MAX(0,G886)/Control!$B$7)+1))</x:f>
        <x:v>4</x:v>
      </x:c>
      <x:c r="J886" s="73" t="n">
        <x:f>INDEX(Drivers!$H$8:$H$13,B886)</x:f>
        <x:v>1</x:v>
      </x:c>
      <x:c r="K886" s="73" t="n">
        <x:f>IF(J886=1,INDEX(TrackMap!$I$8:$I$141,H886),INDEX(TrackMap!$L$8:$L$141,H886))</x:f>
        <x:v>2552</x:v>
      </x:c>
      <x:c r="L886" s="73" t="str">
        <x:f>INDEX(TrackMap!$F$8:$F$141,H886)</x:f>
        <x:v>↓</x:v>
      </x:c>
      <x:c r="M886" s="87" t="n">
        <x:f>MAX(0,G886/Control!$B$17)</x:f>
        <x:v>0.7443802620941717</x:v>
      </x:c>
      <x:c r="N886" s="73" t="n">
        <x:f>IF(N880&gt;0,N880,IF(G886&gt;=Control!$B$17,A886,0))</x:f>
        <x:v>0</x:v>
      </x:c>
      <x:c r="O886" s="91" t="n">
        <x:f>IF(N886&gt;0,Control!$B$17+Control!$B$8+1-N886,G886)-B886/100000</x:f>
        <x:v>498.7347456030951</x:v>
      </x:c>
      <x:c r="P886" s="73" t="n">
        <x:f>COUNTIF($O$884:$O$889,"&gt;"&amp;O886)+1</x:f>
        <x:v>3</x:v>
      </x:c>
      <x:c r="Q886" s="83" t="n">
        <x:f>MAX($G$884:$G$889)-G886</x:f>
        <x:v>2.0002365912325217</x:v>
      </x:c>
      <x:c r="R886" s="73" t="str">
        <x:f>INDEX(TrackMap!$B$8:$B$141,H886)</x:f>
        <x:v>东侧长直道</x:v>
      </x:c>
    </x:row>
    <x:row r="887" ht="20" customHeight="1">
      <x:c r="A887" s="73" t="n">
        <x:v>146</x:v>
      </x:c>
      <x:c r="B887" s="73" t="n">
        <x:v>4</x:v>
      </x:c>
      <x:c r="C887" s="73" t="str">
        <x:f>INDEX(Drivers!$B$8:$B$13,B887)</x:f>
        <x:v>紫影</x:v>
      </x:c>
      <x:c r="D887" s="83" t="n">
        <x:f>G881</x:f>
        <x:v>485.6924291510199</x:v>
      </x:c>
      <x:c r="E887" s="83" t="str">
        <x:f>IF(A887=0,"GRID",IF(D887&gt;=Control!$B$17,"FINISHED",IF(AND(A887&gt;=INDEX(Drivers!$G$8:$G$13,B887),A887&lt;INDEX(Drivers!$G$8:$G$13,B887)+INDEX(Drivers!$J$8:$J$13,B887)),"PIT",IF(MOD(A887+INDEX(Drivers!$F$8:$F$13,B887),Control!$B$11)&lt;Control!$B$13,"BOOST","RACE"))))</x:f>
        <x:v>RACE</x:v>
      </x:c>
      <x:c r="F887" s="83" t="n">
        <x:f>IF(OR(E887="GRID",E887="FINISHED",E887="PIT"),0,MAX(Control!$B$15,(INDEX(Drivers!$D$8:$D$13,B887)+INDEX(Drivers!$E$8:$E$13,B887)*SIN((A887+INDEX(Drivers!$F$8:$F$13,B887)+Control!$B$16)*Control!$B$14))*INDEX(TrackMap!$M$8:$M$141,MOD(INT(D887)-1,Control!$B$7)+1)*IF(E887="BOOST",Control!$B$12,1)))</x:f>
        <x:v>2.4281630329011867</x:v>
      </x:c>
      <x:c r="G887" s="83" t="n">
        <x:f>IF(A887=0,D887,MIN(Control!$B$17,D887+F887))</x:f>
        <x:v>488.1205921839211</x:v>
      </x:c>
      <x:c r="H887" s="73" t="n">
        <x:f>MOD(INT(G887)-1,Control!$B$7)+1</x:f>
        <x:v>86</x:v>
      </x:c>
      <x:c r="I887" s="73" t="n">
        <x:f>MIN(Control!$B$6,MAX(1,INT(MAX(0,G887)/Control!$B$7)+1))</x:f>
        <x:v>4</x:v>
      </x:c>
      <x:c r="J887" s="73" t="n">
        <x:f>INDEX(Drivers!$H$8:$H$13,B887)</x:f>
        <x:v>2</x:v>
      </x:c>
      <x:c r="K887" s="73" t="n">
        <x:f>IF(J887=1,INDEX(TrackMap!$I$8:$I$141,H887),INDEX(TrackMap!$L$8:$L$141,H887))</x:f>
        <x:v>1551</x:v>
      </x:c>
      <x:c r="L887" s="73" t="str">
        <x:f>INDEX(TrackMap!$F$8:$F$141,H887)</x:f>
        <x:v>↓</x:v>
      </x:c>
      <x:c r="M887" s="87" t="n">
        <x:f>MAX(0,G887/Control!$B$17)</x:f>
        <x:v>0.7285381972894345</x:v>
      </x:c>
      <x:c r="N887" s="73" t="n">
        <x:f>IF(N881&gt;0,N881,IF(G887&gt;=Control!$B$17,A887,0))</x:f>
        <x:v>0</x:v>
      </x:c>
      <x:c r="O887" s="91" t="n">
        <x:f>IF(N887&gt;0,Control!$B$17+Control!$B$8+1-N887,G887)-B887/100000</x:f>
        <x:v>488.12055218392106</x:v>
      </x:c>
      <x:c r="P887" s="73" t="n">
        <x:f>COUNTIF($O$884:$O$889,"&gt;"&amp;O887)+1</x:f>
        <x:v>5</x:v>
      </x:c>
      <x:c r="Q887" s="83" t="n">
        <x:f>MAX($G$884:$G$889)-G887</x:f>
        <x:v>12.614420010406548</x:v>
      </x:c>
      <x:c r="R887" s="73" t="str">
        <x:f>INDEX(TrackMap!$B$8:$B$141,H887)</x:f>
        <x:v>东侧长直道</x:v>
      </x:c>
    </x:row>
    <x:row r="888" ht="20" customHeight="1">
      <x:c r="A888" s="73" t="n">
        <x:v>146</x:v>
      </x:c>
      <x:c r="B888" s="73" t="n">
        <x:v>5</x:v>
      </x:c>
      <x:c r="C888" s="73" t="str">
        <x:f>INDEX(Drivers!$B$8:$B$13,B888)</x:f>
        <x:v>青锋</x:v>
      </x:c>
      <x:c r="D888" s="83" t="n">
        <x:f>G882</x:f>
        <x:v>490.0737275603515</x:v>
      </x:c>
      <x:c r="E888" s="83" t="str">
        <x:f>IF(A888=0,"GRID",IF(D888&gt;=Control!$B$17,"FINISHED",IF(AND(A888&gt;=INDEX(Drivers!$G$8:$G$13,B888),A888&lt;INDEX(Drivers!$G$8:$G$13,B888)+INDEX(Drivers!$J$8:$J$13,B888)),"PIT",IF(MOD(A888+INDEX(Drivers!$F$8:$F$13,B888),Control!$B$11)&lt;Control!$B$13,"BOOST","RACE"))))</x:f>
        <x:v>RACE</x:v>
      </x:c>
      <x:c r="F888" s="83" t="n">
        <x:f>IF(OR(E888="GRID",E888="FINISHED",E888="PIT"),0,MAX(Control!$B$15,(INDEX(Drivers!$D$8:$D$13,B888)+INDEX(Drivers!$E$8:$E$13,B888)*SIN((A888+INDEX(Drivers!$F$8:$F$13,B888)+Control!$B$16)*Control!$B$14))*INDEX(TrackMap!$M$8:$M$141,MOD(INT(D888)-1,Control!$B$7)+1)*IF(E888="BOOST",Control!$B$12,1)))</x:f>
        <x:v>3.195340808059365</x:v>
      </x:c>
      <x:c r="G888" s="83" t="n">
        <x:f>IF(A888=0,D888,MIN(Control!$B$17,D888+F888))</x:f>
        <x:v>493.26906836841084</x:v>
      </x:c>
      <x:c r="H888" s="73" t="n">
        <x:f>MOD(INT(G888)-1,Control!$B$7)+1</x:f>
        <x:v>91</x:v>
      </x:c>
      <x:c r="I888" s="73" t="n">
        <x:f>MIN(Control!$B$6,MAX(1,INT(MAX(0,G888)/Control!$B$7)+1))</x:f>
        <x:v>4</x:v>
      </x:c>
      <x:c r="J888" s="73" t="n">
        <x:f>INDEX(Drivers!$H$8:$H$13,B888)</x:f>
        <x:v>1</x:v>
      </x:c>
      <x:c r="K888" s="73" t="n">
        <x:f>IF(J888=1,INDEX(TrackMap!$I$8:$I$141,H888),INDEX(TrackMap!$L$8:$L$141,H888))</x:f>
        <x:v>2052</x:v>
      </x:c>
      <x:c r="L888" s="73" t="str">
        <x:f>INDEX(TrackMap!$F$8:$F$141,H888)</x:f>
        <x:v>↓</x:v>
      </x:c>
      <x:c r="M888" s="87" t="n">
        <x:f>MAX(0,G888/Control!$B$17)</x:f>
        <x:v>0.7362224901021057</x:v>
      </x:c>
      <x:c r="N888" s="73" t="n">
        <x:f>IF(N882&gt;0,N882,IF(G888&gt;=Control!$B$17,A888,0))</x:f>
        <x:v>0</x:v>
      </x:c>
      <x:c r="O888" s="91" t="n">
        <x:f>IF(N888&gt;0,Control!$B$17+Control!$B$8+1-N888,G888)-B888/100000</x:f>
        <x:v>493.26901836841085</x:v>
      </x:c>
      <x:c r="P888" s="73" t="n">
        <x:f>COUNTIF($O$884:$O$889,"&gt;"&amp;O888)+1</x:f>
        <x:v>4</x:v>
      </x:c>
      <x:c r="Q888" s="83" t="n">
        <x:f>MAX($G$884:$G$889)-G888</x:f>
        <x:v>7.465943825916781</x:v>
      </x:c>
      <x:c r="R888" s="73" t="str">
        <x:f>INDEX(TrackMap!$B$8:$B$141,H888)</x:f>
        <x:v>东侧长直道</x:v>
      </x:c>
    </x:row>
    <x:row r="889" ht="20" customHeight="1">
      <x:c r="A889" s="73" t="n">
        <x:v>146</x:v>
      </x:c>
      <x:c r="B889" s="73" t="n">
        <x:v>6</x:v>
      </x:c>
      <x:c r="C889" s="73" t="str">
        <x:f>INDEX(Drivers!$B$8:$B$13,B889)</x:f>
        <x:v>玫速</x:v>
      </x:c>
      <x:c r="D889" s="83" t="n">
        <x:f>G883</x:f>
        <x:v>500.7350121943276</x:v>
      </x:c>
      <x:c r="E889" s="83" t="str">
        <x:f>IF(A889=0,"GRID",IF(D889&gt;=Control!$B$17,"FINISHED",IF(AND(A889&gt;=INDEX(Drivers!$G$8:$G$13,B889),A889&lt;INDEX(Drivers!$G$8:$G$13,B889)+INDEX(Drivers!$J$8:$J$13,B889)),"PIT",IF(MOD(A889+INDEX(Drivers!$F$8:$F$13,B889),Control!$B$11)&lt;Control!$B$13,"BOOST","RACE"))))</x:f>
        <x:v>PIT</x:v>
      </x:c>
      <x:c r="F889" s="83" t="n">
        <x:f>IF(OR(E889="GRID",E889="FINISHED",E889="PIT"),0,MAX(Control!$B$15,(INDEX(Drivers!$D$8:$D$13,B889)+INDEX(Drivers!$E$8:$E$13,B889)*SIN((A889+INDEX(Drivers!$F$8:$F$13,B889)+Control!$B$16)*Control!$B$14))*INDEX(TrackMap!$M$8:$M$141,MOD(INT(D889)-1,Control!$B$7)+1)*IF(E889="BOOST",Control!$B$12,1)))</x:f>
        <x:v>0</x:v>
      </x:c>
      <x:c r="G889" s="83" t="n">
        <x:f>IF(A889=0,D889,MIN(Control!$B$17,D889+F889))</x:f>
        <x:v>500.7350121943276</x:v>
      </x:c>
      <x:c r="H889" s="73" t="n">
        <x:f>MOD(INT(G889)-1,Control!$B$7)+1</x:f>
        <x:v>98</x:v>
      </x:c>
      <x:c r="I889" s="73" t="n">
        <x:f>MIN(Control!$B$6,MAX(1,INT(MAX(0,G889)/Control!$B$7)+1))</x:f>
        <x:v>4</x:v>
      </x:c>
      <x:c r="J889" s="73" t="n">
        <x:f>INDEX(Drivers!$H$8:$H$13,B889)</x:f>
        <x:v>2</x:v>
      </x:c>
      <x:c r="K889" s="73" t="n">
        <x:f>IF(J889=1,INDEX(TrackMap!$I$8:$I$141,H889),INDEX(TrackMap!$L$8:$L$141,H889))</x:f>
        <x:v>2751</x:v>
      </x:c>
      <x:c r="L889" s="73" t="str">
        <x:f>INDEX(TrackMap!$F$8:$F$141,H889)</x:f>
        <x:v>↓</x:v>
      </x:c>
      <x:c r="M889" s="87" t="n">
        <x:f>MAX(0,G889/Control!$B$17)</x:f>
        <x:v>0.74736568984228</x:v>
      </x:c>
      <x:c r="N889" s="73" t="n">
        <x:f>IF(N883&gt;0,N883,IF(G889&gt;=Control!$B$17,A889,0))</x:f>
        <x:v>0</x:v>
      </x:c>
      <x:c r="O889" s="91" t="n">
        <x:f>IF(N889&gt;0,Control!$B$17+Control!$B$8+1-N889,G889)-B889/100000</x:f>
        <x:v>500.7349521943276</x:v>
      </x:c>
      <x:c r="P889" s="73" t="n">
        <x:f>COUNTIF($O$884:$O$889,"&gt;"&amp;O889)+1</x:f>
        <x:v>1</x:v>
      </x:c>
      <x:c r="Q889" s="83" t="n">
        <x:f>MAX($G$884:$G$889)-G889</x:f>
        <x:v>0</x:v>
      </x:c>
      <x:c r="R889" s="73" t="str">
        <x:f>INDEX(TrackMap!$B$8:$B$141,H889)</x:f>
        <x:v>东侧长直道</x:v>
      </x:c>
    </x:row>
    <x:row r="890" ht="20" customHeight="1">
      <x:c r="A890" s="73" t="n">
        <x:v>147</x:v>
      </x:c>
      <x:c r="B890" s="73" t="n">
        <x:v>1</x:v>
      </x:c>
      <x:c r="C890" s="73" t="str">
        <x:f>INDEX(Drivers!$B$8:$B$13,B890)</x:f>
        <x:v>赤焰</x:v>
      </x:c>
      <x:c r="D890" s="83" t="n">
        <x:f>G884</x:f>
        <x:v>500.48222895787313</x:v>
      </x:c>
      <x:c r="E890" s="83" t="str">
        <x:f>IF(A890=0,"GRID",IF(D890&gt;=Control!$B$17,"FINISHED",IF(AND(A890&gt;=INDEX(Drivers!$G$8:$G$13,B890),A890&lt;INDEX(Drivers!$G$8:$G$13,B890)+INDEX(Drivers!$J$8:$J$13,B890)),"PIT",IF(MOD(A890+INDEX(Drivers!$F$8:$F$13,B890),Control!$B$11)&lt;Control!$B$13,"BOOST","RACE"))))</x:f>
        <x:v>RACE</x:v>
      </x:c>
      <x:c r="F890" s="83" t="n">
        <x:f>IF(OR(E890="GRID",E890="FINISHED",E890="PIT"),0,MAX(Control!$B$15,(INDEX(Drivers!$D$8:$D$13,B890)+INDEX(Drivers!$E$8:$E$13,B890)*SIN((A890+INDEX(Drivers!$F$8:$F$13,B890)+Control!$B$16)*Control!$B$14))*INDEX(TrackMap!$M$8:$M$141,MOD(INT(D890)-1,Control!$B$7)+1)*IF(E890="BOOST",Control!$B$12,1)))</x:f>
        <x:v>3.71598391176884</x:v>
      </x:c>
      <x:c r="G890" s="83" t="n">
        <x:f>IF(A890=0,D890,MIN(Control!$B$17,D890+F890))</x:f>
        <x:v>504.19821286964196</x:v>
      </x:c>
      <x:c r="H890" s="73" t="n">
        <x:f>MOD(INT(G890)-1,Control!$B$7)+1</x:f>
        <x:v>102</x:v>
      </x:c>
      <x:c r="I890" s="73" t="n">
        <x:f>MIN(Control!$B$6,MAX(1,INT(MAX(0,G890)/Control!$B$7)+1))</x:f>
        <x:v>4</x:v>
      </x:c>
      <x:c r="J890" s="73" t="n">
        <x:f>INDEX(Drivers!$H$8:$H$13,B890)</x:f>
        <x:v>1</x:v>
      </x:c>
      <x:c r="K890" s="73" t="n">
        <x:f>IF(J890=1,INDEX(TrackMap!$I$8:$I$141,H890),INDEX(TrackMap!$L$8:$L$141,H890))</x:f>
        <x:v>3149</x:v>
      </x:c>
      <x:c r="L890" s="73" t="str">
        <x:f>INDEX(TrackMap!$F$8:$F$141,H890)</x:f>
        <x:v>←</x:v>
      </x:c>
      <x:c r="M890" s="87" t="n">
        <x:f>MAX(0,G890/Control!$B$17)</x:f>
        <x:v>0.7525346460740925</x:v>
      </x:c>
      <x:c r="N890" s="73" t="n">
        <x:f>IF(N884&gt;0,N884,IF(G890&gt;=Control!$B$17,A890,0))</x:f>
        <x:v>0</x:v>
      </x:c>
      <x:c r="O890" s="91" t="n">
        <x:f>IF(N890&gt;0,Control!$B$17+Control!$B$8+1-N890,G890)-B890/100000</x:f>
        <x:v>504.198202869642</x:v>
      </x:c>
      <x:c r="P890" s="73" t="n">
        <x:f>COUNTIF($O$890:$O$895,"&gt;"&amp;O890)+1</x:f>
        <x:v>1</x:v>
      </x:c>
      <x:c r="Q890" s="83" t="n">
        <x:f>MAX($G$890:$G$895)-G890</x:f>
        <x:v>0</x:v>
      </x:c>
      <x:c r="R890" s="73" t="str">
        <x:f>INDEX(TrackMap!$B$8:$B$141,H890)</x:f>
        <x:v>发车大直道</x:v>
      </x:c>
    </x:row>
    <x:row r="891" ht="20" customHeight="1">
      <x:c r="A891" s="73" t="n">
        <x:v>147</x:v>
      </x:c>
      <x:c r="B891" s="73" t="n">
        <x:v>2</x:v>
      </x:c>
      <x:c r="C891" s="73" t="str">
        <x:f>INDEX(Drivers!$B$8:$B$13,B891)</x:f>
        <x:v>蓝电</x:v>
      </x:c>
      <x:c r="D891" s="83" t="n">
        <x:f>G885</x:f>
        <x:v>481.2960455230894</x:v>
      </x:c>
      <x:c r="E891" s="83" t="str">
        <x:f>IF(A891=0,"GRID",IF(D891&gt;=Control!$B$17,"FINISHED",IF(AND(A891&gt;=INDEX(Drivers!$G$8:$G$13,B891),A891&lt;INDEX(Drivers!$G$8:$G$13,B891)+INDEX(Drivers!$J$8:$J$13,B891)),"PIT",IF(MOD(A891+INDEX(Drivers!$F$8:$F$13,B891),Control!$B$11)&lt;Control!$B$13,"BOOST","RACE"))))</x:f>
        <x:v>BOOST</x:v>
      </x:c>
      <x:c r="F891" s="83" t="n">
        <x:f>IF(OR(E891="GRID",E891="FINISHED",E891="PIT"),0,MAX(Control!$B$15,(INDEX(Drivers!$D$8:$D$13,B891)+INDEX(Drivers!$E$8:$E$13,B891)*SIN((A891+INDEX(Drivers!$F$8:$F$13,B891)+Control!$B$16)*Control!$B$14))*INDEX(TrackMap!$M$8:$M$141,MOD(INT(D891)-1,Control!$B$7)+1)*IF(E891="BOOST",Control!$B$12,1)))</x:f>
        <x:v>3.376484052048811</x:v>
      </x:c>
      <x:c r="G891" s="83" t="n">
        <x:f>IF(A891=0,D891,MIN(Control!$B$17,D891+F891))</x:f>
        <x:v>484.6725295751382</x:v>
      </x:c>
      <x:c r="H891" s="73" t="n">
        <x:f>MOD(INT(G891)-1,Control!$B$7)+1</x:f>
        <x:v>82</x:v>
      </x:c>
      <x:c r="I891" s="73" t="n">
        <x:f>MIN(Control!$B$6,MAX(1,INT(MAX(0,G891)/Control!$B$7)+1))</x:f>
        <x:v>4</x:v>
      </x:c>
      <x:c r="J891" s="73" t="n">
        <x:f>INDEX(Drivers!$H$8:$H$13,B891)</x:f>
        <x:v>2</x:v>
      </x:c>
      <x:c r="K891" s="73" t="n">
        <x:f>IF(J891=1,INDEX(TrackMap!$I$8:$I$141,H891),INDEX(TrackMap!$L$8:$L$141,H891))</x:f>
        <x:v>1151</x:v>
      </x:c>
      <x:c r="L891" s="73" t="str">
        <x:f>INDEX(TrackMap!$F$8:$F$141,H891)</x:f>
        <x:v>↓</x:v>
      </x:c>
      <x:c r="M891" s="87" t="n">
        <x:f>MAX(0,G891/Control!$B$17)</x:f>
        <x:v>0.7233918351867734</x:v>
      </x:c>
      <x:c r="N891" s="73" t="n">
        <x:f>IF(N885&gt;0,N885,IF(G891&gt;=Control!$B$17,A891,0))</x:f>
        <x:v>0</x:v>
      </x:c>
      <x:c r="O891" s="91" t="n">
        <x:f>IF(N891&gt;0,Control!$B$17+Control!$B$8+1-N891,G891)-B891/100000</x:f>
        <x:v>484.6725095751382</x:v>
      </x:c>
      <x:c r="P891" s="73" t="n">
        <x:f>COUNTIF($O$890:$O$895,"&gt;"&amp;O891)+1</x:f>
        <x:v>6</x:v>
      </x:c>
      <x:c r="Q891" s="83" t="n">
        <x:f>MAX($G$890:$G$895)-G891</x:f>
        <x:v>19.52568329450378</x:v>
      </x:c>
      <x:c r="R891" s="73" t="str">
        <x:f>INDEX(TrackMap!$B$8:$B$141,H891)</x:f>
        <x:v>东侧长直道</x:v>
      </x:c>
    </x:row>
    <x:row r="892" ht="20" customHeight="1">
      <x:c r="A892" s="73" t="n">
        <x:v>147</x:v>
      </x:c>
      <x:c r="B892" s="73" t="n">
        <x:v>3</x:v>
      </x:c>
      <x:c r="C892" s="73" t="str">
        <x:f>INDEX(Drivers!$B$8:$B$13,B892)</x:f>
        <x:v>金翼</x:v>
      </x:c>
      <x:c r="D892" s="83" t="n">
        <x:f>G886</x:f>
        <x:v>498.7347756030951</x:v>
      </x:c>
      <x:c r="E892" s="83" t="str">
        <x:f>IF(A892=0,"GRID",IF(D892&gt;=Control!$B$17,"FINISHED",IF(AND(A892&gt;=INDEX(Drivers!$G$8:$G$13,B892),A892&lt;INDEX(Drivers!$G$8:$G$13,B892)+INDEX(Drivers!$J$8:$J$13,B892)),"PIT",IF(MOD(A892+INDEX(Drivers!$F$8:$F$13,B892),Control!$B$11)&lt;Control!$B$13,"BOOST","RACE"))))</x:f>
        <x:v>RACE</x:v>
      </x:c>
      <x:c r="F892" s="83" t="n">
        <x:f>IF(OR(E892="GRID",E892="FINISHED",E892="PIT"),0,MAX(Control!$B$15,(INDEX(Drivers!$D$8:$D$13,B892)+INDEX(Drivers!$E$8:$E$13,B892)*SIN((A892+INDEX(Drivers!$F$8:$F$13,B892)+Control!$B$16)*Control!$B$14))*INDEX(TrackMap!$M$8:$M$141,MOD(INT(D892)-1,Control!$B$7)+1)*IF(E892="BOOST",Control!$B$12,1)))</x:f>
        <x:v>4.170138943939425</x:v>
      </x:c>
      <x:c r="G892" s="83" t="n">
        <x:f>IF(A892=0,D892,MIN(Control!$B$17,D892+F892))</x:f>
        <x:v>502.90491454703454</x:v>
      </x:c>
      <x:c r="H892" s="73" t="n">
        <x:f>MOD(INT(G892)-1,Control!$B$7)+1</x:f>
        <x:v>100</x:v>
      </x:c>
      <x:c r="I892" s="73" t="n">
        <x:f>MIN(Control!$B$6,MAX(1,INT(MAX(0,G892)/Control!$B$7)+1))</x:f>
        <x:v>4</x:v>
      </x:c>
      <x:c r="J892" s="73" t="n">
        <x:f>INDEX(Drivers!$H$8:$H$13,B892)</x:f>
        <x:v>1</x:v>
      </x:c>
      <x:c r="K892" s="73" t="n">
        <x:f>IF(J892=1,INDEX(TrackMap!$I$8:$I$141,H892),INDEX(TrackMap!$L$8:$L$141,H892))</x:f>
        <x:v>2952</x:v>
      </x:c>
      <x:c r="L892" s="73" t="str">
        <x:f>INDEX(TrackMap!$F$8:$F$141,H892)</x:f>
        <x:v>↓</x:v>
      </x:c>
      <x:c r="M892" s="87" t="n">
        <x:f>MAX(0,G892/Control!$B$17)</x:f>
        <x:v>0.7506043500702008</x:v>
      </x:c>
      <x:c r="N892" s="73" t="n">
        <x:f>IF(N886&gt;0,N886,IF(G892&gt;=Control!$B$17,A892,0))</x:f>
        <x:v>0</x:v>
      </x:c>
      <x:c r="O892" s="91" t="n">
        <x:f>IF(N892&gt;0,Control!$B$17+Control!$B$8+1-N892,G892)-B892/100000</x:f>
        <x:v>502.90488454703456</x:v>
      </x:c>
      <x:c r="P892" s="73" t="n">
        <x:f>COUNTIF($O$890:$O$895,"&gt;"&amp;O892)+1</x:f>
        <x:v>2</x:v>
      </x:c>
      <x:c r="Q892" s="83" t="n">
        <x:f>MAX($G$890:$G$895)-G892</x:f>
        <x:v>1.293298322607427</x:v>
      </x:c>
      <x:c r="R892" s="73" t="str">
        <x:f>INDEX(TrackMap!$B$8:$B$141,H892)</x:f>
        <x:v>东侧长直道</x:v>
      </x:c>
    </x:row>
    <x:row r="893" ht="20" customHeight="1">
      <x:c r="A893" s="73" t="n">
        <x:v>147</x:v>
      </x:c>
      <x:c r="B893" s="73" t="n">
        <x:v>4</x:v>
      </x:c>
      <x:c r="C893" s="73" t="str">
        <x:f>INDEX(Drivers!$B$8:$B$13,B893)</x:f>
        <x:v>紫影</x:v>
      </x:c>
      <x:c r="D893" s="83" t="n">
        <x:f>G887</x:f>
        <x:v>488.1205921839211</x:v>
      </x:c>
      <x:c r="E893" s="83" t="str">
        <x:f>IF(A893=0,"GRID",IF(D893&gt;=Control!$B$17,"FINISHED",IF(AND(A893&gt;=INDEX(Drivers!$G$8:$G$13,B893),A893&lt;INDEX(Drivers!$G$8:$G$13,B893)+INDEX(Drivers!$J$8:$J$13,B893)),"PIT",IF(MOD(A893+INDEX(Drivers!$F$8:$F$13,B893),Control!$B$11)&lt;Control!$B$13,"BOOST","RACE"))))</x:f>
        <x:v>RACE</x:v>
      </x:c>
      <x:c r="F893" s="83" t="n">
        <x:f>IF(OR(E893="GRID",E893="FINISHED",E893="PIT"),0,MAX(Control!$B$15,(INDEX(Drivers!$D$8:$D$13,B893)+INDEX(Drivers!$E$8:$E$13,B893)*SIN((A893+INDEX(Drivers!$F$8:$F$13,B893)+Control!$B$16)*Control!$B$14))*INDEX(TrackMap!$M$8:$M$141,MOD(INT(D893)-1,Control!$B$7)+1)*IF(E893="BOOST",Control!$B$12,1)))</x:f>
        <x:v>3.0320553019941374</x:v>
      </x:c>
      <x:c r="G893" s="83" t="n">
        <x:f>IF(A893=0,D893,MIN(Control!$B$17,D893+F893))</x:f>
        <x:v>491.1526474859152</x:v>
      </x:c>
      <x:c r="H893" s="73" t="n">
        <x:f>MOD(INT(G893)-1,Control!$B$7)+1</x:f>
        <x:v>89</x:v>
      </x:c>
      <x:c r="I893" s="73" t="n">
        <x:f>MIN(Control!$B$6,MAX(1,INT(MAX(0,G893)/Control!$B$7)+1))</x:f>
        <x:v>4</x:v>
      </x:c>
      <x:c r="J893" s="73" t="n">
        <x:f>INDEX(Drivers!$H$8:$H$13,B893)</x:f>
        <x:v>2</x:v>
      </x:c>
      <x:c r="K893" s="73" t="n">
        <x:f>IF(J893=1,INDEX(TrackMap!$I$8:$I$141,H893),INDEX(TrackMap!$L$8:$L$141,H893))</x:f>
        <x:v>1851</x:v>
      </x:c>
      <x:c r="L893" s="73" t="str">
        <x:f>INDEX(TrackMap!$F$8:$F$141,H893)</x:f>
        <x:v>↓</x:v>
      </x:c>
      <x:c r="M893" s="87" t="n">
        <x:f>MAX(0,G893/Control!$B$17)</x:f>
        <x:v>0.7330636529640526</x:v>
      </x:c>
      <x:c r="N893" s="73" t="n">
        <x:f>IF(N887&gt;0,N887,IF(G893&gt;=Control!$B$17,A893,0))</x:f>
        <x:v>0</x:v>
      </x:c>
      <x:c r="O893" s="91" t="n">
        <x:f>IF(N893&gt;0,Control!$B$17+Control!$B$8+1-N893,G893)-B893/100000</x:f>
        <x:v>491.1526074859152</x:v>
      </x:c>
      <x:c r="P893" s="73" t="n">
        <x:f>COUNTIF($O$890:$O$895,"&gt;"&amp;O893)+1</x:f>
        <x:v>5</x:v>
      </x:c>
      <x:c r="Q893" s="83" t="n">
        <x:f>MAX($G$890:$G$895)-G893</x:f>
        <x:v>13.04556538372674</x:v>
      </x:c>
      <x:c r="R893" s="73" t="str">
        <x:f>INDEX(TrackMap!$B$8:$B$141,H893)</x:f>
        <x:v>东侧长直道</x:v>
      </x:c>
    </x:row>
    <x:row r="894" ht="20" customHeight="1">
      <x:c r="A894" s="73" t="n">
        <x:v>147</x:v>
      </x:c>
      <x:c r="B894" s="73" t="n">
        <x:v>5</x:v>
      </x:c>
      <x:c r="C894" s="73" t="str">
        <x:f>INDEX(Drivers!$B$8:$B$13,B894)</x:f>
        <x:v>青锋</x:v>
      </x:c>
      <x:c r="D894" s="83" t="n">
        <x:f>G888</x:f>
        <x:v>493.26906836841084</x:v>
      </x:c>
      <x:c r="E894" s="83" t="str">
        <x:f>IF(A894=0,"GRID",IF(D894&gt;=Control!$B$17,"FINISHED",IF(AND(A894&gt;=INDEX(Drivers!$G$8:$G$13,B894),A894&lt;INDEX(Drivers!$G$8:$G$13,B894)+INDEX(Drivers!$J$8:$J$13,B894)),"PIT",IF(MOD(A894+INDEX(Drivers!$F$8:$F$13,B894),Control!$B$11)&lt;Control!$B$13,"BOOST","RACE"))))</x:f>
        <x:v>RACE</x:v>
      </x:c>
      <x:c r="F894" s="83" t="n">
        <x:f>IF(OR(E894="GRID",E894="FINISHED",E894="PIT"),0,MAX(Control!$B$15,(INDEX(Drivers!$D$8:$D$13,B894)+INDEX(Drivers!$E$8:$E$13,B894)*SIN((A894+INDEX(Drivers!$F$8:$F$13,B894)+Control!$B$16)*Control!$B$14))*INDEX(TrackMap!$M$8:$M$141,MOD(INT(D894)-1,Control!$B$7)+1)*IF(E894="BOOST",Control!$B$12,1)))</x:f>
        <x:v>3.1215387585457646</x:v>
      </x:c>
      <x:c r="G894" s="83" t="n">
        <x:f>IF(A894=0,D894,MIN(Control!$B$17,D894+F894))</x:f>
        <x:v>496.3906071269566</x:v>
      </x:c>
      <x:c r="H894" s="73" t="n">
        <x:f>MOD(INT(G894)-1,Control!$B$7)+1</x:f>
        <x:v>94</x:v>
      </x:c>
      <x:c r="I894" s="73" t="n">
        <x:f>MIN(Control!$B$6,MAX(1,INT(MAX(0,G894)/Control!$B$7)+1))</x:f>
        <x:v>4</x:v>
      </x:c>
      <x:c r="J894" s="73" t="n">
        <x:f>INDEX(Drivers!$H$8:$H$13,B894)</x:f>
        <x:v>1</x:v>
      </x:c>
      <x:c r="K894" s="73" t="n">
        <x:f>IF(J894=1,INDEX(TrackMap!$I$8:$I$141,H894),INDEX(TrackMap!$L$8:$L$141,H894))</x:f>
        <x:v>2352</x:v>
      </x:c>
      <x:c r="L894" s="73" t="str">
        <x:f>INDEX(TrackMap!$F$8:$F$141,H894)</x:f>
        <x:v>↓</x:v>
      </x:c>
      <x:c r="M894" s="87" t="n">
        <x:f>MAX(0,G894/Control!$B$17)</x:f>
        <x:v>0.740881503174562</x:v>
      </x:c>
      <x:c r="N894" s="73" t="n">
        <x:f>IF(N888&gt;0,N888,IF(G894&gt;=Control!$B$17,A894,0))</x:f>
        <x:v>0</x:v>
      </x:c>
      <x:c r="O894" s="91" t="n">
        <x:f>IF(N894&gt;0,Control!$B$17+Control!$B$8+1-N894,G894)-B894/100000</x:f>
        <x:v>496.3905571269566</x:v>
      </x:c>
      <x:c r="P894" s="73" t="n">
        <x:f>COUNTIF($O$890:$O$895,"&gt;"&amp;O894)+1</x:f>
        <x:v>4</x:v>
      </x:c>
      <x:c r="Q894" s="83" t="n">
        <x:f>MAX($G$890:$G$895)-G894</x:f>
        <x:v>7.807605742685382</x:v>
      </x:c>
      <x:c r="R894" s="73" t="str">
        <x:f>INDEX(TrackMap!$B$8:$B$141,H894)</x:f>
        <x:v>东侧长直道</x:v>
      </x:c>
    </x:row>
    <x:row r="895" ht="20" customHeight="1">
      <x:c r="A895" s="73" t="n">
        <x:v>147</x:v>
      </x:c>
      <x:c r="B895" s="73" t="n">
        <x:v>6</x:v>
      </x:c>
      <x:c r="C895" s="73" t="str">
        <x:f>INDEX(Drivers!$B$8:$B$13,B895)</x:f>
        <x:v>玫速</x:v>
      </x:c>
      <x:c r="D895" s="83" t="n">
        <x:f>G889</x:f>
        <x:v>500.7350121943276</x:v>
      </x:c>
      <x:c r="E895" s="83" t="str">
        <x:f>IF(A895=0,"GRID",IF(D895&gt;=Control!$B$17,"FINISHED",IF(AND(A895&gt;=INDEX(Drivers!$G$8:$G$13,B895),A895&lt;INDEX(Drivers!$G$8:$G$13,B895)+INDEX(Drivers!$J$8:$J$13,B895)),"PIT",IF(MOD(A895+INDEX(Drivers!$F$8:$F$13,B895),Control!$B$11)&lt;Control!$B$13,"BOOST","RACE"))))</x:f>
        <x:v>PIT</x:v>
      </x:c>
      <x:c r="F895" s="83" t="n">
        <x:f>IF(OR(E895="GRID",E895="FINISHED",E895="PIT"),0,MAX(Control!$B$15,(INDEX(Drivers!$D$8:$D$13,B895)+INDEX(Drivers!$E$8:$E$13,B895)*SIN((A895+INDEX(Drivers!$F$8:$F$13,B895)+Control!$B$16)*Control!$B$14))*INDEX(TrackMap!$M$8:$M$141,MOD(INT(D895)-1,Control!$B$7)+1)*IF(E895="BOOST",Control!$B$12,1)))</x:f>
        <x:v>0</x:v>
      </x:c>
      <x:c r="G895" s="83" t="n">
        <x:f>IF(A895=0,D895,MIN(Control!$B$17,D895+F895))</x:f>
        <x:v>500.7350121943276</x:v>
      </x:c>
      <x:c r="H895" s="73" t="n">
        <x:f>MOD(INT(G895)-1,Control!$B$7)+1</x:f>
        <x:v>98</x:v>
      </x:c>
      <x:c r="I895" s="73" t="n">
        <x:f>MIN(Control!$B$6,MAX(1,INT(MAX(0,G895)/Control!$B$7)+1))</x:f>
        <x:v>4</x:v>
      </x:c>
      <x:c r="J895" s="73" t="n">
        <x:f>INDEX(Drivers!$H$8:$H$13,B895)</x:f>
        <x:v>2</x:v>
      </x:c>
      <x:c r="K895" s="73" t="n">
        <x:f>IF(J895=1,INDEX(TrackMap!$I$8:$I$141,H895),INDEX(TrackMap!$L$8:$L$141,H895))</x:f>
        <x:v>2751</x:v>
      </x:c>
      <x:c r="L895" s="73" t="str">
        <x:f>INDEX(TrackMap!$F$8:$F$141,H895)</x:f>
        <x:v>↓</x:v>
      </x:c>
      <x:c r="M895" s="87" t="n">
        <x:f>MAX(0,G895/Control!$B$17)</x:f>
        <x:v>0.74736568984228</x:v>
      </x:c>
      <x:c r="N895" s="73" t="n">
        <x:f>IF(N889&gt;0,N889,IF(G895&gt;=Control!$B$17,A895,0))</x:f>
        <x:v>0</x:v>
      </x:c>
      <x:c r="O895" s="91" t="n">
        <x:f>IF(N895&gt;0,Control!$B$17+Control!$B$8+1-N895,G895)-B895/100000</x:f>
        <x:v>500.7349521943276</x:v>
      </x:c>
      <x:c r="P895" s="73" t="n">
        <x:f>COUNTIF($O$890:$O$895,"&gt;"&amp;O895)+1</x:f>
        <x:v>3</x:v>
      </x:c>
      <x:c r="Q895" s="83" t="n">
        <x:f>MAX($G$890:$G$895)-G895</x:f>
        <x:v>3.46320067531434</x:v>
      </x:c>
      <x:c r="R895" s="73" t="str">
        <x:f>INDEX(TrackMap!$B$8:$B$141,H895)</x:f>
        <x:v>东侧长直道</x:v>
      </x:c>
    </x:row>
    <x:row r="896" ht="20" customHeight="1">
      <x:c r="A896" s="73" t="n">
        <x:v>148</x:v>
      </x:c>
      <x:c r="B896" s="73" t="n">
        <x:v>1</x:v>
      </x:c>
      <x:c r="C896" s="73" t="str">
        <x:f>INDEX(Drivers!$B$8:$B$13,B896)</x:f>
        <x:v>赤焰</x:v>
      </x:c>
      <x:c r="D896" s="83" t="n">
        <x:f>G890</x:f>
        <x:v>504.19821286964196</x:v>
      </x:c>
      <x:c r="E896" s="83" t="str">
        <x:f>IF(A896=0,"GRID",IF(D896&gt;=Control!$B$17,"FINISHED",IF(AND(A896&gt;=INDEX(Drivers!$G$8:$G$13,B896),A896&lt;INDEX(Drivers!$G$8:$G$13,B896)+INDEX(Drivers!$J$8:$J$13,B896)),"PIT",IF(MOD(A896+INDEX(Drivers!$F$8:$F$13,B896),Control!$B$11)&lt;Control!$B$13,"BOOST","RACE"))))</x:f>
        <x:v>RACE</x:v>
      </x:c>
      <x:c r="F896" s="83" t="n">
        <x:f>IF(OR(E896="GRID",E896="FINISHED",E896="PIT"),0,MAX(Control!$B$15,(INDEX(Drivers!$D$8:$D$13,B896)+INDEX(Drivers!$E$8:$E$13,B896)*SIN((A896+INDEX(Drivers!$F$8:$F$13,B896)+Control!$B$16)*Control!$B$14))*INDEX(TrackMap!$M$8:$M$141,MOD(INT(D896)-1,Control!$B$7)+1)*IF(E896="BOOST",Control!$B$12,1)))</x:f>
        <x:v>2.740971951402031</x:v>
      </x:c>
      <x:c r="G896" s="83" t="n">
        <x:f>IF(A896=0,D896,MIN(Control!$B$17,D896+F896))</x:f>
        <x:v>506.939184821044</x:v>
      </x:c>
      <x:c r="H896" s="73" t="n">
        <x:f>MOD(INT(G896)-1,Control!$B$7)+1</x:f>
        <x:v>104</x:v>
      </x:c>
      <x:c r="I896" s="73" t="n">
        <x:f>MIN(Control!$B$6,MAX(1,INT(MAX(0,G896)/Control!$B$7)+1))</x:f>
        <x:v>4</x:v>
      </x:c>
      <x:c r="J896" s="73" t="n">
        <x:f>INDEX(Drivers!$H$8:$H$13,B896)</x:f>
        <x:v>1</x:v>
      </x:c>
      <x:c r="K896" s="73" t="n">
        <x:f>IF(J896=1,INDEX(TrackMap!$I$8:$I$141,H896),INDEX(TrackMap!$L$8:$L$141,H896))</x:f>
        <x:v>3147</x:v>
      </x:c>
      <x:c r="L896" s="73" t="str">
        <x:f>INDEX(TrackMap!$F$8:$F$141,H896)</x:f>
        <x:v>←</x:v>
      </x:c>
      <x:c r="M896" s="87" t="n">
        <x:f>MAX(0,G896/Control!$B$17)</x:f>
        <x:v>0.7566256489866329</x:v>
      </x:c>
      <x:c r="N896" s="73" t="n">
        <x:f>IF(N890&gt;0,N890,IF(G896&gt;=Control!$B$17,A896,0))</x:f>
        <x:v>0</x:v>
      </x:c>
      <x:c r="O896" s="91" t="n">
        <x:f>IF(N896&gt;0,Control!$B$17+Control!$B$8+1-N896,G896)-B896/100000</x:f>
        <x:v>506.93917482104405</x:v>
      </x:c>
      <x:c r="P896" s="73" t="n">
        <x:f>COUNTIF($O$896:$O$901,"&gt;"&amp;O896)+1</x:f>
        <x:v>1</x:v>
      </x:c>
      <x:c r="Q896" s="83" t="n">
        <x:f>MAX($G$896:$G$901)-G896</x:f>
        <x:v>0</x:v>
      </x:c>
      <x:c r="R896" s="73" t="str">
        <x:f>INDEX(TrackMap!$B$8:$B$141,H896)</x:f>
        <x:v>发车大直道</x:v>
      </x:c>
    </x:row>
    <x:row r="897" ht="20" customHeight="1">
      <x:c r="A897" s="73" t="n">
        <x:v>148</x:v>
      </x:c>
      <x:c r="B897" s="73" t="n">
        <x:v>2</x:v>
      </x:c>
      <x:c r="C897" s="73" t="str">
        <x:f>INDEX(Drivers!$B$8:$B$13,B897)</x:f>
        <x:v>蓝电</x:v>
      </x:c>
      <x:c r="D897" s="83" t="n">
        <x:f>G891</x:f>
        <x:v>484.6725295751382</x:v>
      </x:c>
      <x:c r="E897" s="83" t="str">
        <x:f>IF(A897=0,"GRID",IF(D897&gt;=Control!$B$17,"FINISHED",IF(AND(A897&gt;=INDEX(Drivers!$G$8:$G$13,B897),A897&lt;INDEX(Drivers!$G$8:$G$13,B897)+INDEX(Drivers!$J$8:$J$13,B897)),"PIT",IF(MOD(A897+INDEX(Drivers!$F$8:$F$13,B897),Control!$B$11)&lt;Control!$B$13,"BOOST","RACE"))))</x:f>
        <x:v>BOOST</x:v>
      </x:c>
      <x:c r="F897" s="83" t="n">
        <x:f>IF(OR(E897="GRID",E897="FINISHED",E897="PIT"),0,MAX(Control!$B$15,(INDEX(Drivers!$D$8:$D$13,B897)+INDEX(Drivers!$E$8:$E$13,B897)*SIN((A897+INDEX(Drivers!$F$8:$F$13,B897)+Control!$B$16)*Control!$B$14))*INDEX(TrackMap!$M$8:$M$141,MOD(INT(D897)-1,Control!$B$7)+1)*IF(E897="BOOST",Control!$B$12,1)))</x:f>
        <x:v>3.5819121746122025</x:v>
      </x:c>
      <x:c r="G897" s="83" t="n">
        <x:f>IF(A897=0,D897,MIN(Control!$B$17,D897+F897))</x:f>
        <x:v>488.2544417497504</x:v>
      </x:c>
      <x:c r="H897" s="73" t="n">
        <x:f>MOD(INT(G897)-1,Control!$B$7)+1</x:f>
        <x:v>86</x:v>
      </x:c>
      <x:c r="I897" s="73" t="n">
        <x:f>MIN(Control!$B$6,MAX(1,INT(MAX(0,G897)/Control!$B$7)+1))</x:f>
        <x:v>4</x:v>
      </x:c>
      <x:c r="J897" s="73" t="n">
        <x:f>INDEX(Drivers!$H$8:$H$13,B897)</x:f>
        <x:v>2</x:v>
      </x:c>
      <x:c r="K897" s="73" t="n">
        <x:f>IF(J897=1,INDEX(TrackMap!$I$8:$I$141,H897),INDEX(TrackMap!$L$8:$L$141,H897))</x:f>
        <x:v>1551</x:v>
      </x:c>
      <x:c r="L897" s="73" t="str">
        <x:f>INDEX(TrackMap!$F$8:$F$141,H897)</x:f>
        <x:v>↓</x:v>
      </x:c>
      <x:c r="M897" s="87" t="n">
        <x:f>MAX(0,G897/Control!$B$17)</x:f>
        <x:v>0.7287379727608215</x:v>
      </x:c>
      <x:c r="N897" s="73" t="n">
        <x:f>IF(N891&gt;0,N891,IF(G897&gt;=Control!$B$17,A897,0))</x:f>
        <x:v>0</x:v>
      </x:c>
      <x:c r="O897" s="91" t="n">
        <x:f>IF(N897&gt;0,Control!$B$17+Control!$B$8+1-N897,G897)-B897/100000</x:f>
        <x:v>488.2544217497504</x:v>
      </x:c>
      <x:c r="P897" s="73" t="n">
        <x:f>COUNTIF($O$896:$O$901,"&gt;"&amp;O897)+1</x:f>
        <x:v>6</x:v>
      </x:c>
      <x:c r="Q897" s="83" t="n">
        <x:f>MAX($G$896:$G$901)-G897</x:f>
        <x:v>18.68474307129361</x:v>
      </x:c>
      <x:c r="R897" s="73" t="str">
        <x:f>INDEX(TrackMap!$B$8:$B$141,H897)</x:f>
        <x:v>东侧长直道</x:v>
      </x:c>
    </x:row>
    <x:row r="898" ht="20" customHeight="1">
      <x:c r="A898" s="73" t="n">
        <x:v>148</x:v>
      </x:c>
      <x:c r="B898" s="73" t="n">
        <x:v>3</x:v>
      </x:c>
      <x:c r="C898" s="73" t="str">
        <x:f>INDEX(Drivers!$B$8:$B$13,B898)</x:f>
        <x:v>金翼</x:v>
      </x:c>
      <x:c r="D898" s="83" t="n">
        <x:f>G892</x:f>
        <x:v>502.90491454703454</x:v>
      </x:c>
      <x:c r="E898" s="83" t="str">
        <x:f>IF(A898=0,"GRID",IF(D898&gt;=Control!$B$17,"FINISHED",IF(AND(A898&gt;=INDEX(Drivers!$G$8:$G$13,B898),A898&lt;INDEX(Drivers!$G$8:$G$13,B898)+INDEX(Drivers!$J$8:$J$13,B898)),"PIT",IF(MOD(A898+INDEX(Drivers!$F$8:$F$13,B898),Control!$B$11)&lt;Control!$B$13,"BOOST","RACE"))))</x:f>
        <x:v>RACE</x:v>
      </x:c>
      <x:c r="F898" s="83" t="n">
        <x:f>IF(OR(E898="GRID",E898="FINISHED",E898="PIT"),0,MAX(Control!$B$15,(INDEX(Drivers!$D$8:$D$13,B898)+INDEX(Drivers!$E$8:$E$13,B898)*SIN((A898+INDEX(Drivers!$F$8:$F$13,B898)+Control!$B$16)*Control!$B$14))*INDEX(TrackMap!$M$8:$M$141,MOD(INT(D898)-1,Control!$B$7)+1)*IF(E898="BOOST",Control!$B$12,1)))</x:f>
        <x:v>3.179884523922423</x:v>
      </x:c>
      <x:c r="G898" s="83" t="n">
        <x:f>IF(A898=0,D898,MIN(Control!$B$17,D898+F898))</x:f>
        <x:v>506.08479907095693</x:v>
      </x:c>
      <x:c r="H898" s="73" t="n">
        <x:f>MOD(INT(G898)-1,Control!$B$7)+1</x:f>
        <x:v>104</x:v>
      </x:c>
      <x:c r="I898" s="73" t="n">
        <x:f>MIN(Control!$B$6,MAX(1,INT(MAX(0,G898)/Control!$B$7)+1))</x:f>
        <x:v>4</x:v>
      </x:c>
      <x:c r="J898" s="73" t="n">
        <x:f>INDEX(Drivers!$H$8:$H$13,B898)</x:f>
        <x:v>1</x:v>
      </x:c>
      <x:c r="K898" s="73" t="n">
        <x:f>IF(J898=1,INDEX(TrackMap!$I$8:$I$141,H898),INDEX(TrackMap!$L$8:$L$141,H898))</x:f>
        <x:v>3147</x:v>
      </x:c>
      <x:c r="L898" s="73" t="str">
        <x:f>INDEX(TrackMap!$F$8:$F$141,H898)</x:f>
        <x:v>←</x:v>
      </x:c>
      <x:c r="M898" s="87" t="n">
        <x:f>MAX(0,G898/Control!$B$17)</x:f>
        <x:v>0.7553504463745626</x:v>
      </x:c>
      <x:c r="N898" s="73" t="n">
        <x:f>IF(N892&gt;0,N892,IF(G898&gt;=Control!$B$17,A898,0))</x:f>
        <x:v>0</x:v>
      </x:c>
      <x:c r="O898" s="91" t="n">
        <x:f>IF(N898&gt;0,Control!$B$17+Control!$B$8+1-N898,G898)-B898/100000</x:f>
        <x:v>506.08476907095695</x:v>
      </x:c>
      <x:c r="P898" s="73" t="n">
        <x:f>COUNTIF($O$896:$O$901,"&gt;"&amp;O898)+1</x:f>
        <x:v>2</x:v>
      </x:c>
      <x:c r="Q898" s="83" t="n">
        <x:f>MAX($G$896:$G$901)-G898</x:f>
        <x:v>0.85438575008709</x:v>
      </x:c>
      <x:c r="R898" s="73" t="str">
        <x:f>INDEX(TrackMap!$B$8:$B$141,H898)</x:f>
        <x:v>发车大直道</x:v>
      </x:c>
    </x:row>
    <x:row r="899" ht="20" customHeight="1">
      <x:c r="A899" s="73" t="n">
        <x:v>148</x:v>
      </x:c>
      <x:c r="B899" s="73" t="n">
        <x:v>4</x:v>
      </x:c>
      <x:c r="C899" s="73" t="str">
        <x:f>INDEX(Drivers!$B$8:$B$13,B899)</x:f>
        <x:v>紫影</x:v>
      </x:c>
      <x:c r="D899" s="83" t="n">
        <x:f>G893</x:f>
        <x:v>491.1526474859152</x:v>
      </x:c>
      <x:c r="E899" s="83" t="str">
        <x:f>IF(A899=0,"GRID",IF(D899&gt;=Control!$B$17,"FINISHED",IF(AND(A899&gt;=INDEX(Drivers!$G$8:$G$13,B899),A899&lt;INDEX(Drivers!$G$8:$G$13,B899)+INDEX(Drivers!$J$8:$J$13,B899)),"PIT",IF(MOD(A899+INDEX(Drivers!$F$8:$F$13,B899),Control!$B$11)&lt;Control!$B$13,"BOOST","RACE"))))</x:f>
        <x:v>RACE</x:v>
      </x:c>
      <x:c r="F899" s="83" t="n">
        <x:f>IF(OR(E899="GRID",E899="FINISHED",E899="PIT"),0,MAX(Control!$B$15,(INDEX(Drivers!$D$8:$D$13,B899)+INDEX(Drivers!$E$8:$E$13,B899)*SIN((A899+INDEX(Drivers!$F$8:$F$13,B899)+Control!$B$16)*Control!$B$14))*INDEX(TrackMap!$M$8:$M$141,MOD(INT(D899)-1,Control!$B$7)+1)*IF(E899="BOOST",Control!$B$12,1)))</x:f>
        <x:v>3.0279497251538516</x:v>
      </x:c>
      <x:c r="G899" s="83" t="n">
        <x:f>IF(A899=0,D899,MIN(Control!$B$17,D899+F899))</x:f>
        <x:v>494.1805972110691</x:v>
      </x:c>
      <x:c r="H899" s="73" t="n">
        <x:f>MOD(INT(G899)-1,Control!$B$7)+1</x:f>
        <x:v>92</x:v>
      </x:c>
      <x:c r="I899" s="73" t="n">
        <x:f>MIN(Control!$B$6,MAX(1,INT(MAX(0,G899)/Control!$B$7)+1))</x:f>
        <x:v>4</x:v>
      </x:c>
      <x:c r="J899" s="73" t="n">
        <x:f>INDEX(Drivers!$H$8:$H$13,B899)</x:f>
        <x:v>2</x:v>
      </x:c>
      <x:c r="K899" s="73" t="n">
        <x:f>IF(J899=1,INDEX(TrackMap!$I$8:$I$141,H899),INDEX(TrackMap!$L$8:$L$141,H899))</x:f>
        <x:v>2151</x:v>
      </x:c>
      <x:c r="L899" s="73" t="str">
        <x:f>INDEX(TrackMap!$F$8:$F$141,H899)</x:f>
        <x:v>↓</x:v>
      </x:c>
      <x:c r="M899" s="87" t="n">
        <x:f>MAX(0,G899/Control!$B$17)</x:f>
        <x:v>0.7375829809120434</x:v>
      </x:c>
      <x:c r="N899" s="73" t="n">
        <x:f>IF(N893&gt;0,N893,IF(G899&gt;=Control!$B$17,A899,0))</x:f>
        <x:v>0</x:v>
      </x:c>
      <x:c r="O899" s="91" t="n">
        <x:f>IF(N899&gt;0,Control!$B$17+Control!$B$8+1-N899,G899)-B899/100000</x:f>
        <x:v>494.1805572110691</x:v>
      </x:c>
      <x:c r="P899" s="73" t="n">
        <x:f>COUNTIF($O$896:$O$901,"&gt;"&amp;O899)+1</x:f>
        <x:v>5</x:v>
      </x:c>
      <x:c r="Q899" s="83" t="n">
        <x:f>MAX($G$896:$G$901)-G899</x:f>
        <x:v>12.758587609974938</x:v>
      </x:c>
      <x:c r="R899" s="73" t="str">
        <x:f>INDEX(TrackMap!$B$8:$B$141,H899)</x:f>
        <x:v>东侧长直道</x:v>
      </x:c>
    </x:row>
    <x:row r="900" ht="20" customHeight="1">
      <x:c r="A900" s="73" t="n">
        <x:v>148</x:v>
      </x:c>
      <x:c r="B900" s="73" t="n">
        <x:v>5</x:v>
      </x:c>
      <x:c r="C900" s="73" t="str">
        <x:f>INDEX(Drivers!$B$8:$B$13,B900)</x:f>
        <x:v>青锋</x:v>
      </x:c>
      <x:c r="D900" s="83" t="n">
        <x:f>G894</x:f>
        <x:v>496.3906071269566</x:v>
      </x:c>
      <x:c r="E900" s="83" t="str">
        <x:f>IF(A900=0,"GRID",IF(D900&gt;=Control!$B$17,"FINISHED",IF(AND(A900&gt;=INDEX(Drivers!$G$8:$G$13,B900),A900&lt;INDEX(Drivers!$G$8:$G$13,B900)+INDEX(Drivers!$J$8:$J$13,B900)),"PIT",IF(MOD(A900+INDEX(Drivers!$F$8:$F$13,B900),Control!$B$11)&lt;Control!$B$13,"BOOST","RACE"))))</x:f>
        <x:v>BOOST</x:v>
      </x:c>
      <x:c r="F900" s="83" t="n">
        <x:f>IF(OR(E900="GRID",E900="FINISHED",E900="PIT"),0,MAX(Control!$B$15,(INDEX(Drivers!$D$8:$D$13,B900)+INDEX(Drivers!$E$8:$E$13,B900)*SIN((A900+INDEX(Drivers!$F$8:$F$13,B900)+Control!$B$16)*Control!$B$14))*INDEX(TrackMap!$M$8:$M$141,MOD(INT(D900)-1,Control!$B$7)+1)*IF(E900="BOOST",Control!$B$12,1)))</x:f>
        <x:v>4.207348646230701</x:v>
      </x:c>
      <x:c r="G900" s="83" t="n">
        <x:f>IF(A900=0,D900,MIN(Control!$B$17,D900+F900))</x:f>
        <x:v>500.59795577318727</x:v>
      </x:c>
      <x:c r="H900" s="73" t="n">
        <x:f>MOD(INT(G900)-1,Control!$B$7)+1</x:f>
        <x:v>98</x:v>
      </x:c>
      <x:c r="I900" s="73" t="n">
        <x:f>MIN(Control!$B$6,MAX(1,INT(MAX(0,G900)/Control!$B$7)+1))</x:f>
        <x:v>4</x:v>
      </x:c>
      <x:c r="J900" s="73" t="n">
        <x:f>INDEX(Drivers!$H$8:$H$13,B900)</x:f>
        <x:v>1</x:v>
      </x:c>
      <x:c r="K900" s="73" t="n">
        <x:f>IF(J900=1,INDEX(TrackMap!$I$8:$I$141,H900),INDEX(TrackMap!$L$8:$L$141,H900))</x:f>
        <x:v>2752</x:v>
      </x:c>
      <x:c r="L900" s="73" t="str">
        <x:f>INDEX(TrackMap!$F$8:$F$141,H900)</x:f>
        <x:v>↓</x:v>
      </x:c>
      <x:c r="M900" s="87" t="n">
        <x:f>MAX(0,G900/Control!$B$17)</x:f>
        <x:v>0.7471611280196825</x:v>
      </x:c>
      <x:c r="N900" s="73" t="n">
        <x:f>IF(N894&gt;0,N894,IF(G900&gt;=Control!$B$17,A900,0))</x:f>
        <x:v>0</x:v>
      </x:c>
      <x:c r="O900" s="91" t="n">
        <x:f>IF(N900&gt;0,Control!$B$17+Control!$B$8+1-N900,G900)-B900/100000</x:f>
        <x:v>500.5979057731873</x:v>
      </x:c>
      <x:c r="P900" s="73" t="n">
        <x:f>COUNTIF($O$896:$O$901,"&gt;"&amp;O900)+1</x:f>
        <x:v>4</x:v>
      </x:c>
      <x:c r="Q900" s="83" t="n">
        <x:f>MAX($G$896:$G$901)-G900</x:f>
        <x:v>6.341229047856757</x:v>
      </x:c>
      <x:c r="R900" s="73" t="str">
        <x:f>INDEX(TrackMap!$B$8:$B$141,H900)</x:f>
        <x:v>东侧长直道</x:v>
      </x:c>
    </x:row>
    <x:row r="901" ht="20" customHeight="1">
      <x:c r="A901" s="73" t="n">
        <x:v>148</x:v>
      </x:c>
      <x:c r="B901" s="73" t="n">
        <x:v>6</x:v>
      </x:c>
      <x:c r="C901" s="73" t="str">
        <x:f>INDEX(Drivers!$B$8:$B$13,B901)</x:f>
        <x:v>玫速</x:v>
      </x:c>
      <x:c r="D901" s="83" t="n">
        <x:f>G895</x:f>
        <x:v>500.7350121943276</x:v>
      </x:c>
      <x:c r="E901" s="83" t="str">
        <x:f>IF(A901=0,"GRID",IF(D901&gt;=Control!$B$17,"FINISHED",IF(AND(A901&gt;=INDEX(Drivers!$G$8:$G$13,B901),A901&lt;INDEX(Drivers!$G$8:$G$13,B901)+INDEX(Drivers!$J$8:$J$13,B901)),"PIT",IF(MOD(A901+INDEX(Drivers!$F$8:$F$13,B901),Control!$B$11)&lt;Control!$B$13,"BOOST","RACE"))))</x:f>
        <x:v>PIT</x:v>
      </x:c>
      <x:c r="F901" s="83" t="n">
        <x:f>IF(OR(E901="GRID",E901="FINISHED",E901="PIT"),0,MAX(Control!$B$15,(INDEX(Drivers!$D$8:$D$13,B901)+INDEX(Drivers!$E$8:$E$13,B901)*SIN((A901+INDEX(Drivers!$F$8:$F$13,B901)+Control!$B$16)*Control!$B$14))*INDEX(TrackMap!$M$8:$M$141,MOD(INT(D901)-1,Control!$B$7)+1)*IF(E901="BOOST",Control!$B$12,1)))</x:f>
        <x:v>0</x:v>
      </x:c>
      <x:c r="G901" s="83" t="n">
        <x:f>IF(A901=0,D901,MIN(Control!$B$17,D901+F901))</x:f>
        <x:v>500.7350121943276</x:v>
      </x:c>
      <x:c r="H901" s="73" t="n">
        <x:f>MOD(INT(G901)-1,Control!$B$7)+1</x:f>
        <x:v>98</x:v>
      </x:c>
      <x:c r="I901" s="73" t="n">
        <x:f>MIN(Control!$B$6,MAX(1,INT(MAX(0,G901)/Control!$B$7)+1))</x:f>
        <x:v>4</x:v>
      </x:c>
      <x:c r="J901" s="73" t="n">
        <x:f>INDEX(Drivers!$H$8:$H$13,B901)</x:f>
        <x:v>2</x:v>
      </x:c>
      <x:c r="K901" s="73" t="n">
        <x:f>IF(J901=1,INDEX(TrackMap!$I$8:$I$141,H901),INDEX(TrackMap!$L$8:$L$141,H901))</x:f>
        <x:v>2751</x:v>
      </x:c>
      <x:c r="L901" s="73" t="str">
        <x:f>INDEX(TrackMap!$F$8:$F$141,H901)</x:f>
        <x:v>↓</x:v>
      </x:c>
      <x:c r="M901" s="87" t="n">
        <x:f>MAX(0,G901/Control!$B$17)</x:f>
        <x:v>0.74736568984228</x:v>
      </x:c>
      <x:c r="N901" s="73" t="n">
        <x:f>IF(N895&gt;0,N895,IF(G901&gt;=Control!$B$17,A901,0))</x:f>
        <x:v>0</x:v>
      </x:c>
      <x:c r="O901" s="91" t="n">
        <x:f>IF(N901&gt;0,Control!$B$17+Control!$B$8+1-N901,G901)-B901/100000</x:f>
        <x:v>500.7349521943276</x:v>
      </x:c>
      <x:c r="P901" s="73" t="n">
        <x:f>COUNTIF($O$896:$O$901,"&gt;"&amp;O901)+1</x:f>
        <x:v>3</x:v>
      </x:c>
      <x:c r="Q901" s="83" t="n">
        <x:f>MAX($G$896:$G$901)-G901</x:f>
        <x:v>6.2041726267163995</x:v>
      </x:c>
      <x:c r="R901" s="73" t="str">
        <x:f>INDEX(TrackMap!$B$8:$B$141,H901)</x:f>
        <x:v>东侧长直道</x:v>
      </x:c>
    </x:row>
    <x:row r="902" ht="20" customHeight="1">
      <x:c r="A902" s="73" t="n">
        <x:v>149</x:v>
      </x:c>
      <x:c r="B902" s="73" t="n">
        <x:v>1</x:v>
      </x:c>
      <x:c r="C902" s="73" t="str">
        <x:f>INDEX(Drivers!$B$8:$B$13,B902)</x:f>
        <x:v>赤焰</x:v>
      </x:c>
      <x:c r="D902" s="83" t="n">
        <x:f>G896</x:f>
        <x:v>506.939184821044</x:v>
      </x:c>
      <x:c r="E902" s="83" t="str">
        <x:f>IF(A902=0,"GRID",IF(D902&gt;=Control!$B$17,"FINISHED",IF(AND(A902&gt;=INDEX(Drivers!$G$8:$G$13,B902),A902&lt;INDEX(Drivers!$G$8:$G$13,B902)+INDEX(Drivers!$J$8:$J$13,B902)),"PIT",IF(MOD(A902+INDEX(Drivers!$F$8:$F$13,B902),Control!$B$11)&lt;Control!$B$13,"BOOST","RACE"))))</x:f>
        <x:v>RACE</x:v>
      </x:c>
      <x:c r="F902" s="83" t="n">
        <x:f>IF(OR(E902="GRID",E902="FINISHED",E902="PIT"),0,MAX(Control!$B$15,(INDEX(Drivers!$D$8:$D$13,B902)+INDEX(Drivers!$E$8:$E$13,B902)*SIN((A902+INDEX(Drivers!$F$8:$F$13,B902)+Control!$B$16)*Control!$B$14))*INDEX(TrackMap!$M$8:$M$141,MOD(INT(D902)-1,Control!$B$7)+1)*IF(E902="BOOST",Control!$B$12,1)))</x:f>
        <x:v>3.330547244361587</x:v>
      </x:c>
      <x:c r="G902" s="83" t="n">
        <x:f>IF(A902=0,D902,MIN(Control!$B$17,D902+F902))</x:f>
        <x:v>510.2697320654056</x:v>
      </x:c>
      <x:c r="H902" s="73" t="n">
        <x:f>MOD(INT(G902)-1,Control!$B$7)+1</x:f>
        <x:v>108</x:v>
      </x:c>
      <x:c r="I902" s="73" t="n">
        <x:f>MIN(Control!$B$6,MAX(1,INT(MAX(0,G902)/Control!$B$7)+1))</x:f>
        <x:v>4</x:v>
      </x:c>
      <x:c r="J902" s="73" t="n">
        <x:f>INDEX(Drivers!$H$8:$H$13,B902)</x:f>
        <x:v>1</x:v>
      </x:c>
      <x:c r="K902" s="73" t="n">
        <x:f>IF(J902=1,INDEX(TrackMap!$I$8:$I$141,H902),INDEX(TrackMap!$L$8:$L$141,H902))</x:f>
        <x:v>3143</x:v>
      </x:c>
      <x:c r="L902" s="73" t="str">
        <x:f>INDEX(TrackMap!$F$8:$F$141,H902)</x:f>
        <x:v>←</x:v>
      </x:c>
      <x:c r="M902" s="87" t="n">
        <x:f>MAX(0,G902/Control!$B$17)</x:f>
        <x:v>0.7615966150229935</x:v>
      </x:c>
      <x:c r="N902" s="73" t="n">
        <x:f>IF(N896&gt;0,N896,IF(G902&gt;=Control!$B$17,A902,0))</x:f>
        <x:v>0</x:v>
      </x:c>
      <x:c r="O902" s="91" t="n">
        <x:f>IF(N902&gt;0,Control!$B$17+Control!$B$8+1-N902,G902)-B902/100000</x:f>
        <x:v>510.26972206540563</x:v>
      </x:c>
      <x:c r="P902" s="73" t="n">
        <x:f>COUNTIF($O$902:$O$907,"&gt;"&amp;O902)+1</x:f>
        <x:v>1</x:v>
      </x:c>
      <x:c r="Q902" s="83" t="n">
        <x:f>MAX($G$902:$G$907)-G902</x:f>
        <x:v>0</x:v>
      </x:c>
      <x:c r="R902" s="73" t="str">
        <x:f>INDEX(TrackMap!$B$8:$B$141,H902)</x:f>
        <x:v>发车大直道</x:v>
      </x:c>
    </x:row>
    <x:row r="903" ht="20" customHeight="1">
      <x:c r="A903" s="73" t="n">
        <x:v>149</x:v>
      </x:c>
      <x:c r="B903" s="73" t="n">
        <x:v>2</x:v>
      </x:c>
      <x:c r="C903" s="73" t="str">
        <x:f>INDEX(Drivers!$B$8:$B$13,B903)</x:f>
        <x:v>蓝电</x:v>
      </x:c>
      <x:c r="D903" s="83" t="n">
        <x:f>G897</x:f>
        <x:v>488.2544417497504</x:v>
      </x:c>
      <x:c r="E903" s="83" t="str">
        <x:f>IF(A903=0,"GRID",IF(D903&gt;=Control!$B$17,"FINISHED",IF(AND(A903&gt;=INDEX(Drivers!$G$8:$G$13,B903),A903&lt;INDEX(Drivers!$G$8:$G$13,B903)+INDEX(Drivers!$J$8:$J$13,B903)),"PIT",IF(MOD(A903+INDEX(Drivers!$F$8:$F$13,B903),Control!$B$11)&lt;Control!$B$13,"BOOST","RACE"))))</x:f>
        <x:v>BOOST</x:v>
      </x:c>
      <x:c r="F903" s="83" t="n">
        <x:f>IF(OR(E903="GRID",E903="FINISHED",E903="PIT"),0,MAX(Control!$B$15,(INDEX(Drivers!$D$8:$D$13,B903)+INDEX(Drivers!$E$8:$E$13,B903)*SIN((A903+INDEX(Drivers!$F$8:$F$13,B903)+Control!$B$16)*Control!$B$14))*INDEX(TrackMap!$M$8:$M$141,MOD(INT(D903)-1,Control!$B$7)+1)*IF(E903="BOOST",Control!$B$12,1)))</x:f>
        <x:v>4.888156297694444</x:v>
      </x:c>
      <x:c r="G903" s="83" t="n">
        <x:f>IF(A903=0,D903,MIN(Control!$B$17,D903+F903))</x:f>
        <x:v>493.14259804744484</x:v>
      </x:c>
      <x:c r="H903" s="73" t="n">
        <x:f>MOD(INT(G903)-1,Control!$B$7)+1</x:f>
        <x:v>91</x:v>
      </x:c>
      <x:c r="I903" s="73" t="n">
        <x:f>MIN(Control!$B$6,MAX(1,INT(MAX(0,G903)/Control!$B$7)+1))</x:f>
        <x:v>4</x:v>
      </x:c>
      <x:c r="J903" s="73" t="n">
        <x:f>INDEX(Drivers!$H$8:$H$13,B903)</x:f>
        <x:v>2</x:v>
      </x:c>
      <x:c r="K903" s="73" t="n">
        <x:f>IF(J903=1,INDEX(TrackMap!$I$8:$I$141,H903),INDEX(TrackMap!$L$8:$L$141,H903))</x:f>
        <x:v>2051</x:v>
      </x:c>
      <x:c r="L903" s="73" t="str">
        <x:f>INDEX(TrackMap!$F$8:$F$141,H903)</x:f>
        <x:v>↓</x:v>
      </x:c>
      <x:c r="M903" s="87" t="n">
        <x:f>MAX(0,G903/Control!$B$17)</x:f>
        <x:v>0.7360337284290221</x:v>
      </x:c>
      <x:c r="N903" s="73" t="n">
        <x:f>IF(N897&gt;0,N897,IF(G903&gt;=Control!$B$17,A903,0))</x:f>
        <x:v>0</x:v>
      </x:c>
      <x:c r="O903" s="91" t="n">
        <x:f>IF(N903&gt;0,Control!$B$17+Control!$B$8+1-N903,G903)-B903/100000</x:f>
        <x:v>493.14257804744483</x:v>
      </x:c>
      <x:c r="P903" s="73" t="n">
        <x:f>COUNTIF($O$902:$O$907,"&gt;"&amp;O903)+1</x:f>
        <x:v>6</x:v>
      </x:c>
      <x:c r="Q903" s="83" t="n">
        <x:f>MAX($G$902:$G$907)-G903</x:f>
        <x:v>17.12713401796077</x:v>
      </x:c>
      <x:c r="R903" s="73" t="str">
        <x:f>INDEX(TrackMap!$B$8:$B$141,H903)</x:f>
        <x:v>东侧长直道</x:v>
      </x:c>
    </x:row>
    <x:row r="904" ht="20" customHeight="1">
      <x:c r="A904" s="73" t="n">
        <x:v>149</x:v>
      </x:c>
      <x:c r="B904" s="73" t="n">
        <x:v>3</x:v>
      </x:c>
      <x:c r="C904" s="73" t="str">
        <x:f>INDEX(Drivers!$B$8:$B$13,B904)</x:f>
        <x:v>金翼</x:v>
      </x:c>
      <x:c r="D904" s="83" t="n">
        <x:f>G898</x:f>
        <x:v>506.08479907095693</x:v>
      </x:c>
      <x:c r="E904" s="83" t="str">
        <x:f>IF(A904=0,"GRID",IF(D904&gt;=Control!$B$17,"FINISHED",IF(AND(A904&gt;=INDEX(Drivers!$G$8:$G$13,B904),A904&lt;INDEX(Drivers!$G$8:$G$13,B904)+INDEX(Drivers!$J$8:$J$13,B904)),"PIT",IF(MOD(A904+INDEX(Drivers!$F$8:$F$13,B904),Control!$B$11)&lt;Control!$B$13,"BOOST","RACE"))))</x:f>
        <x:v>RACE</x:v>
      </x:c>
      <x:c r="F904" s="83" t="n">
        <x:f>IF(OR(E904="GRID",E904="FINISHED",E904="PIT"),0,MAX(Control!$B$15,(INDEX(Drivers!$D$8:$D$13,B904)+INDEX(Drivers!$E$8:$E$13,B904)*SIN((A904+INDEX(Drivers!$F$8:$F$13,B904)+Control!$B$16)*Control!$B$14))*INDEX(TrackMap!$M$8:$M$141,MOD(INT(D904)-1,Control!$B$7)+1)*IF(E904="BOOST",Control!$B$12,1)))</x:f>
        <x:v>3.9324163845305433</x:v>
      </x:c>
      <x:c r="G904" s="83" t="n">
        <x:f>IF(A904=0,D904,MIN(Control!$B$17,D904+F904))</x:f>
        <x:v>510.0172154554875</x:v>
      </x:c>
      <x:c r="H904" s="73" t="n">
        <x:f>MOD(INT(G904)-1,Control!$B$7)+1</x:f>
        <x:v>108</x:v>
      </x:c>
      <x:c r="I904" s="73" t="n">
        <x:f>MIN(Control!$B$6,MAX(1,INT(MAX(0,G904)/Control!$B$7)+1))</x:f>
        <x:v>4</x:v>
      </x:c>
      <x:c r="J904" s="73" t="n">
        <x:f>INDEX(Drivers!$H$8:$H$13,B904)</x:f>
        <x:v>1</x:v>
      </x:c>
      <x:c r="K904" s="73" t="n">
        <x:f>IF(J904=1,INDEX(TrackMap!$I$8:$I$141,H904),INDEX(TrackMap!$L$8:$L$141,H904))</x:f>
        <x:v>3143</x:v>
      </x:c>
      <x:c r="L904" s="73" t="str">
        <x:f>INDEX(TrackMap!$F$8:$F$141,H904)</x:f>
        <x:v>←</x:v>
      </x:c>
      <x:c r="M904" s="87" t="n">
        <x:f>MAX(0,G904/Control!$B$17)</x:f>
        <x:v>0.7612197245604291</x:v>
      </x:c>
      <x:c r="N904" s="73" t="n">
        <x:f>IF(N898&gt;0,N898,IF(G904&gt;=Control!$B$17,A904,0))</x:f>
        <x:v>0</x:v>
      </x:c>
      <x:c r="O904" s="91" t="n">
        <x:f>IF(N904&gt;0,Control!$B$17+Control!$B$8+1-N904,G904)-B904/100000</x:f>
        <x:v>510.0171854554875</x:v>
      </x:c>
      <x:c r="P904" s="73" t="n">
        <x:f>COUNTIF($O$902:$O$907,"&gt;"&amp;O904)+1</x:f>
        <x:v>2</x:v>
      </x:c>
      <x:c r="Q904" s="83" t="n">
        <x:f>MAX($G$902:$G$907)-G904</x:f>
        <x:v>0.25251660991813196</x:v>
      </x:c>
      <x:c r="R904" s="73" t="str">
        <x:f>INDEX(TrackMap!$B$8:$B$141,H904)</x:f>
        <x:v>发车大直道</x:v>
      </x:c>
    </x:row>
    <x:row r="905" ht="20" customHeight="1">
      <x:c r="A905" s="73" t="n">
        <x:v>149</x:v>
      </x:c>
      <x:c r="B905" s="73" t="n">
        <x:v>4</x:v>
      </x:c>
      <x:c r="C905" s="73" t="str">
        <x:f>INDEX(Drivers!$B$8:$B$13,B905)</x:f>
        <x:v>紫影</x:v>
      </x:c>
      <x:c r="D905" s="83" t="n">
        <x:f>G899</x:f>
        <x:v>494.1805972110691</x:v>
      </x:c>
      <x:c r="E905" s="83" t="str">
        <x:f>IF(A905=0,"GRID",IF(D905&gt;=Control!$B$17,"FINISHED",IF(AND(A905&gt;=INDEX(Drivers!$G$8:$G$13,B905),A905&lt;INDEX(Drivers!$G$8:$G$13,B905)+INDEX(Drivers!$J$8:$J$13,B905)),"PIT",IF(MOD(A905+INDEX(Drivers!$F$8:$F$13,B905),Control!$B$11)&lt;Control!$B$13,"BOOST","RACE"))))</x:f>
        <x:v>RACE</x:v>
      </x:c>
      <x:c r="F905" s="83" t="n">
        <x:f>IF(OR(E905="GRID",E905="FINISHED",E905="PIT"),0,MAX(Control!$B$15,(INDEX(Drivers!$D$8:$D$13,B905)+INDEX(Drivers!$E$8:$E$13,B905)*SIN((A905+INDEX(Drivers!$F$8:$F$13,B905)+Control!$B$16)*Control!$B$14))*INDEX(TrackMap!$M$8:$M$141,MOD(INT(D905)-1,Control!$B$7)+1)*IF(E905="BOOST",Control!$B$12,1)))</x:f>
        <x:v>3.1012684694048387</x:v>
      </x:c>
      <x:c r="G905" s="83" t="n">
        <x:f>IF(A905=0,D905,MIN(Control!$B$17,D905+F905))</x:f>
        <x:v>497.2818656804739</x:v>
      </x:c>
      <x:c r="H905" s="73" t="n">
        <x:f>MOD(INT(G905)-1,Control!$B$7)+1</x:f>
        <x:v>95</x:v>
      </x:c>
      <x:c r="I905" s="73" t="n">
        <x:f>MIN(Control!$B$6,MAX(1,INT(MAX(0,G905)/Control!$B$7)+1))</x:f>
        <x:v>4</x:v>
      </x:c>
      <x:c r="J905" s="73" t="n">
        <x:f>INDEX(Drivers!$H$8:$H$13,B905)</x:f>
        <x:v>2</x:v>
      </x:c>
      <x:c r="K905" s="73" t="n">
        <x:f>IF(J905=1,INDEX(TrackMap!$I$8:$I$141,H905),INDEX(TrackMap!$L$8:$L$141,H905))</x:f>
        <x:v>2451</x:v>
      </x:c>
      <x:c r="L905" s="73" t="str">
        <x:f>INDEX(TrackMap!$F$8:$F$141,H905)</x:f>
        <x:v>↓</x:v>
      </x:c>
      <x:c r="M905" s="87" t="n">
        <x:f>MAX(0,G905/Control!$B$17)</x:f>
        <x:v>0.7422117398216028</x:v>
      </x:c>
      <x:c r="N905" s="73" t="n">
        <x:f>IF(N899&gt;0,N899,IF(G905&gt;=Control!$B$17,A905,0))</x:f>
        <x:v>0</x:v>
      </x:c>
      <x:c r="O905" s="91" t="n">
        <x:f>IF(N905&gt;0,Control!$B$17+Control!$B$8+1-N905,G905)-B905/100000</x:f>
        <x:v>497.2818256804739</x:v>
      </x:c>
      <x:c r="P905" s="73" t="n">
        <x:f>COUNTIF($O$902:$O$907,"&gt;"&amp;O905)+1</x:f>
        <x:v>5</x:v>
      </x:c>
      <x:c r="Q905" s="83" t="n">
        <x:f>MAX($G$902:$G$907)-G905</x:f>
        <x:v>12.987866384931692</x:v>
      </x:c>
      <x:c r="R905" s="73" t="str">
        <x:f>INDEX(TrackMap!$B$8:$B$141,H905)</x:f>
        <x:v>东侧长直道</x:v>
      </x:c>
    </x:row>
    <x:row r="906" ht="20" customHeight="1">
      <x:c r="A906" s="73" t="n">
        <x:v>149</x:v>
      </x:c>
      <x:c r="B906" s="73" t="n">
        <x:v>5</x:v>
      </x:c>
      <x:c r="C906" s="73" t="str">
        <x:f>INDEX(Drivers!$B$8:$B$13,B906)</x:f>
        <x:v>青锋</x:v>
      </x:c>
      <x:c r="D906" s="83" t="n">
        <x:f>G900</x:f>
        <x:v>500.59795577318727</x:v>
      </x:c>
      <x:c r="E906" s="83" t="str">
        <x:f>IF(A906=0,"GRID",IF(D906&gt;=Control!$B$17,"FINISHED",IF(AND(A906&gt;=INDEX(Drivers!$G$8:$G$13,B906),A906&lt;INDEX(Drivers!$G$8:$G$13,B906)+INDEX(Drivers!$J$8:$J$13,B906)),"PIT",IF(MOD(A906+INDEX(Drivers!$F$8:$F$13,B906),Control!$B$11)&lt;Control!$B$13,"BOOST","RACE"))))</x:f>
        <x:v>BOOST</x:v>
      </x:c>
      <x:c r="F906" s="83" t="n">
        <x:f>IF(OR(E906="GRID",E906="FINISHED",E906="PIT"),0,MAX(Control!$B$15,(INDEX(Drivers!$D$8:$D$13,B906)+INDEX(Drivers!$E$8:$E$13,B906)*SIN((A906+INDEX(Drivers!$F$8:$F$13,B906)+Control!$B$16)*Control!$B$14))*INDEX(TrackMap!$M$8:$M$141,MOD(INT(D906)-1,Control!$B$7)+1)*IF(E906="BOOST",Control!$B$12,1)))</x:f>
        <x:v>4.294434752437297</x:v>
      </x:c>
      <x:c r="G906" s="83" t="n">
        <x:f>IF(A906=0,D906,MIN(Control!$B$17,D906+F906))</x:f>
        <x:v>504.8923905256246</x:v>
      </x:c>
      <x:c r="H906" s="73" t="n">
        <x:f>MOD(INT(G906)-1,Control!$B$7)+1</x:f>
        <x:v>102</x:v>
      </x:c>
      <x:c r="I906" s="73" t="n">
        <x:f>MIN(Control!$B$6,MAX(1,INT(MAX(0,G906)/Control!$B$7)+1))</x:f>
        <x:v>4</x:v>
      </x:c>
      <x:c r="J906" s="73" t="n">
        <x:f>INDEX(Drivers!$H$8:$H$13,B906)</x:f>
        <x:v>1</x:v>
      </x:c>
      <x:c r="K906" s="73" t="n">
        <x:f>IF(J906=1,INDEX(TrackMap!$I$8:$I$141,H906),INDEX(TrackMap!$L$8:$L$141,H906))</x:f>
        <x:v>3149</x:v>
      </x:c>
      <x:c r="L906" s="73" t="str">
        <x:f>INDEX(TrackMap!$F$8:$F$141,H906)</x:f>
        <x:v>←</x:v>
      </x:c>
      <x:c r="M906" s="87" t="n">
        <x:f>MAX(0,G906/Control!$B$17)</x:f>
        <x:v>0.7535707321277979</x:v>
      </x:c>
      <x:c r="N906" s="73" t="n">
        <x:f>IF(N900&gt;0,N900,IF(G906&gt;=Control!$B$17,A906,0))</x:f>
        <x:v>0</x:v>
      </x:c>
      <x:c r="O906" s="91" t="n">
        <x:f>IF(N906&gt;0,Control!$B$17+Control!$B$8+1-N906,G906)-B906/100000</x:f>
        <x:v>504.8923405256246</x:v>
      </x:c>
      <x:c r="P906" s="73" t="n">
        <x:f>COUNTIF($O$902:$O$907,"&gt;"&amp;O906)+1</x:f>
        <x:v>4</x:v>
      </x:c>
      <x:c r="Q906" s="83" t="n">
        <x:f>MAX($G$902:$G$907)-G906</x:f>
        <x:v>5.377341539781014</x:v>
      </x:c>
      <x:c r="R906" s="73" t="str">
        <x:f>INDEX(TrackMap!$B$8:$B$141,H906)</x:f>
        <x:v>发车大直道</x:v>
      </x:c>
    </x:row>
    <x:row r="907" ht="20" customHeight="1">
      <x:c r="A907" s="73" t="n">
        <x:v>149</x:v>
      </x:c>
      <x:c r="B907" s="73" t="n">
        <x:v>6</x:v>
      </x:c>
      <x:c r="C907" s="73" t="str">
        <x:f>INDEX(Drivers!$B$8:$B$13,B907)</x:f>
        <x:v>玫速</x:v>
      </x:c>
      <x:c r="D907" s="83" t="n">
        <x:f>G901</x:f>
        <x:v>500.7350121943276</x:v>
      </x:c>
      <x:c r="E907" s="83" t="str">
        <x:f>IF(A907=0,"GRID",IF(D907&gt;=Control!$B$17,"FINISHED",IF(AND(A907&gt;=INDEX(Drivers!$G$8:$G$13,B907),A907&lt;INDEX(Drivers!$G$8:$G$13,B907)+INDEX(Drivers!$J$8:$J$13,B907)),"PIT",IF(MOD(A907+INDEX(Drivers!$F$8:$F$13,B907),Control!$B$11)&lt;Control!$B$13,"BOOST","RACE"))))</x:f>
        <x:v>RACE</x:v>
      </x:c>
      <x:c r="F907" s="83" t="n">
        <x:f>IF(OR(E907="GRID",E907="FINISHED",E907="PIT"),0,MAX(Control!$B$15,(INDEX(Drivers!$D$8:$D$13,B907)+INDEX(Drivers!$E$8:$E$13,B907)*SIN((A907+INDEX(Drivers!$F$8:$F$13,B907)+Control!$B$16)*Control!$B$14))*INDEX(TrackMap!$M$8:$M$141,MOD(INT(D907)-1,Control!$B$7)+1)*IF(E907="BOOST",Control!$B$12,1)))</x:f>
        <x:v>4.279846108002034</x:v>
      </x:c>
      <x:c r="G907" s="83" t="n">
        <x:f>IF(A907=0,D907,MIN(Control!$B$17,D907+F907))</x:f>
        <x:v>505.0148583023297</x:v>
      </x:c>
      <x:c r="H907" s="73" t="n">
        <x:f>MOD(INT(G907)-1,Control!$B$7)+1</x:f>
        <x:v>103</x:v>
      </x:c>
      <x:c r="I907" s="73" t="n">
        <x:f>MIN(Control!$B$6,MAX(1,INT(MAX(0,G907)/Control!$B$7)+1))</x:f>
        <x:v>4</x:v>
      </x:c>
      <x:c r="J907" s="73" t="n">
        <x:f>INDEX(Drivers!$H$8:$H$13,B907)</x:f>
        <x:v>2</x:v>
      </x:c>
      <x:c r="K907" s="73" t="n">
        <x:f>IF(J907=1,INDEX(TrackMap!$I$8:$I$141,H907),INDEX(TrackMap!$L$8:$L$141,H907))</x:f>
        <x:v>3048</x:v>
      </x:c>
      <x:c r="L907" s="73" t="str">
        <x:f>INDEX(TrackMap!$F$8:$F$141,H907)</x:f>
        <x:v>←</x:v>
      </x:c>
      <x:c r="M907" s="87" t="n">
        <x:f>MAX(0,G907/Control!$B$17)</x:f>
        <x:v>0.7537535198542235</x:v>
      </x:c>
      <x:c r="N907" s="73" t="n">
        <x:f>IF(N901&gt;0,N901,IF(G907&gt;=Control!$B$17,A907,0))</x:f>
        <x:v>0</x:v>
      </x:c>
      <x:c r="O907" s="91" t="n">
        <x:f>IF(N907&gt;0,Control!$B$17+Control!$B$8+1-N907,G907)-B907/100000</x:f>
        <x:v>505.01479830232967</x:v>
      </x:c>
      <x:c r="P907" s="73" t="n">
        <x:f>COUNTIF($O$902:$O$907,"&gt;"&amp;O907)+1</x:f>
        <x:v>3</x:v>
      </x:c>
      <x:c r="Q907" s="83" t="n">
        <x:f>MAX($G$902:$G$907)-G907</x:f>
        <x:v>5.254873763075921</x:v>
      </x:c>
      <x:c r="R907" s="73" t="str">
        <x:f>INDEX(TrackMap!$B$8:$B$141,H907)</x:f>
        <x:v>发车大直道</x:v>
      </x:c>
    </x:row>
    <x:row r="908" ht="20" customHeight="1">
      <x:c r="A908" s="73" t="n">
        <x:v>150</x:v>
      </x:c>
      <x:c r="B908" s="73" t="n">
        <x:v>1</x:v>
      </x:c>
      <x:c r="C908" s="73" t="str">
        <x:f>INDEX(Drivers!$B$8:$B$13,B908)</x:f>
        <x:v>赤焰</x:v>
      </x:c>
      <x:c r="D908" s="83" t="n">
        <x:f>G902</x:f>
        <x:v>510.2697320654056</x:v>
      </x:c>
      <x:c r="E908" s="83" t="str">
        <x:f>IF(A908=0,"GRID",IF(D908&gt;=Control!$B$17,"FINISHED",IF(AND(A908&gt;=INDEX(Drivers!$G$8:$G$13,B908),A908&lt;INDEX(Drivers!$G$8:$G$13,B908)+INDEX(Drivers!$J$8:$J$13,B908)),"PIT",IF(MOD(A908+INDEX(Drivers!$F$8:$F$13,B908),Control!$B$11)&lt;Control!$B$13,"BOOST","RACE"))))</x:f>
        <x:v>RACE</x:v>
      </x:c>
      <x:c r="F908" s="83" t="n">
        <x:f>IF(OR(E908="GRID",E908="FINISHED",E908="PIT"),0,MAX(Control!$B$15,(INDEX(Drivers!$D$8:$D$13,B908)+INDEX(Drivers!$E$8:$E$13,B908)*SIN((A908+INDEX(Drivers!$F$8:$F$13,B908)+Control!$B$16)*Control!$B$14))*INDEX(TrackMap!$M$8:$M$141,MOD(INT(D908)-1,Control!$B$7)+1)*IF(E908="BOOST",Control!$B$12,1)))</x:f>
        <x:v>3.190264316216636</x:v>
      </x:c>
      <x:c r="G908" s="83" t="n">
        <x:f>IF(A908=0,D908,MIN(Control!$B$17,D908+F908))</x:f>
        <x:v>513.4599963816222</x:v>
      </x:c>
      <x:c r="H908" s="73" t="n">
        <x:f>MOD(INT(G908)-1,Control!$B$7)+1</x:f>
        <x:v>111</x:v>
      </x:c>
      <x:c r="I908" s="73" t="n">
        <x:f>MIN(Control!$B$6,MAX(1,INT(MAX(0,G908)/Control!$B$7)+1))</x:f>
        <x:v>4</x:v>
      </x:c>
      <x:c r="J908" s="73" t="n">
        <x:f>INDEX(Drivers!$H$8:$H$13,B908)</x:f>
        <x:v>1</x:v>
      </x:c>
      <x:c r="K908" s="73" t="n">
        <x:f>IF(J908=1,INDEX(TrackMap!$I$8:$I$141,H908),INDEX(TrackMap!$L$8:$L$141,H908))</x:f>
        <x:v>3140</x:v>
      </x:c>
      <x:c r="L908" s="73" t="str">
        <x:f>INDEX(TrackMap!$F$8:$F$141,H908)</x:f>
        <x:v>←</x:v>
      </x:c>
      <x:c r="M908" s="87" t="n">
        <x:f>MAX(0,G908/Control!$B$17)</x:f>
        <x:v>0.76635820355466</x:v>
      </x:c>
      <x:c r="N908" s="73" t="n">
        <x:f>IF(N902&gt;0,N902,IF(G908&gt;=Control!$B$17,A908,0))</x:f>
        <x:v>0</x:v>
      </x:c>
      <x:c r="O908" s="91" t="n">
        <x:f>IF(N908&gt;0,Control!$B$17+Control!$B$8+1-N908,G908)-B908/100000</x:f>
        <x:v>513.4599863816222</x:v>
      </x:c>
      <x:c r="P908" s="73" t="n">
        <x:f>COUNTIF($O$908:$O$913,"&gt;"&amp;O908)+1</x:f>
        <x:v>2</x:v>
      </x:c>
      <x:c r="Q908" s="83" t="n">
        <x:f>MAX($G$908:$G$913)-G908</x:f>
        <x:v>0.3138203449249204</x:v>
      </x:c>
      <x:c r="R908" s="73" t="str">
        <x:f>INDEX(TrackMap!$B$8:$B$141,H908)</x:f>
        <x:v>发车大直道</x:v>
      </x:c>
    </x:row>
    <x:row r="909" ht="20" customHeight="1">
      <x:c r="A909" s="73" t="n">
        <x:v>150</x:v>
      </x:c>
      <x:c r="B909" s="73" t="n">
        <x:v>2</x:v>
      </x:c>
      <x:c r="C909" s="73" t="str">
        <x:f>INDEX(Drivers!$B$8:$B$13,B909)</x:f>
        <x:v>蓝电</x:v>
      </x:c>
      <x:c r="D909" s="83" t="n">
        <x:f>G903</x:f>
        <x:v>493.14259804744484</x:v>
      </x:c>
      <x:c r="E909" s="83" t="str">
        <x:f>IF(A909=0,"GRID",IF(D909&gt;=Control!$B$17,"FINISHED",IF(AND(A909&gt;=INDEX(Drivers!$G$8:$G$13,B909),A909&lt;INDEX(Drivers!$G$8:$G$13,B909)+INDEX(Drivers!$J$8:$J$13,B909)),"PIT",IF(MOD(A909+INDEX(Drivers!$F$8:$F$13,B909),Control!$B$11)&lt;Control!$B$13,"BOOST","RACE"))))</x:f>
        <x:v>RACE</x:v>
      </x:c>
      <x:c r="F909" s="83" t="n">
        <x:f>IF(OR(E909="GRID",E909="FINISHED",E909="PIT"),0,MAX(Control!$B$15,(INDEX(Drivers!$D$8:$D$13,B909)+INDEX(Drivers!$E$8:$E$13,B909)*SIN((A909+INDEX(Drivers!$F$8:$F$13,B909)+Control!$B$16)*Control!$B$14))*INDEX(TrackMap!$M$8:$M$141,MOD(INT(D909)-1,Control!$B$7)+1)*IF(E909="BOOST",Control!$B$12,1)))</x:f>
        <x:v>3.834557298954937</x:v>
      </x:c>
      <x:c r="G909" s="83" t="n">
        <x:f>IF(A909=0,D909,MIN(Control!$B$17,D909+F909))</x:f>
        <x:v>496.9771553463998</x:v>
      </x:c>
      <x:c r="H909" s="73" t="n">
        <x:f>MOD(INT(G909)-1,Control!$B$7)+1</x:f>
        <x:v>94</x:v>
      </x:c>
      <x:c r="I909" s="73" t="n">
        <x:f>MIN(Control!$B$6,MAX(1,INT(MAX(0,G909)/Control!$B$7)+1))</x:f>
        <x:v>4</x:v>
      </x:c>
      <x:c r="J909" s="73" t="n">
        <x:f>INDEX(Drivers!$H$8:$H$13,B909)</x:f>
        <x:v>2</x:v>
      </x:c>
      <x:c r="K909" s="73" t="n">
        <x:f>IF(J909=1,INDEX(TrackMap!$I$8:$I$141,H909),INDEX(TrackMap!$L$8:$L$141,H909))</x:f>
        <x:v>2351</x:v>
      </x:c>
      <x:c r="L909" s="73" t="str">
        <x:f>INDEX(TrackMap!$F$8:$F$141,H909)</x:f>
        <x:v>↓</x:v>
      </x:c>
      <x:c r="M909" s="87" t="n">
        <x:f>MAX(0,G909/Control!$B$17)</x:f>
        <x:v>0.7417569482782087</x:v>
      </x:c>
      <x:c r="N909" s="73" t="n">
        <x:f>IF(N903&gt;0,N903,IF(G909&gt;=Control!$B$17,A909,0))</x:f>
        <x:v>0</x:v>
      </x:c>
      <x:c r="O909" s="91" t="n">
        <x:f>IF(N909&gt;0,Control!$B$17+Control!$B$8+1-N909,G909)-B909/100000</x:f>
        <x:v>496.9771353463998</x:v>
      </x:c>
      <x:c r="P909" s="73" t="n">
        <x:f>COUNTIF($O$908:$O$913,"&gt;"&amp;O909)+1</x:f>
        <x:v>6</x:v>
      </x:c>
      <x:c r="Q909" s="83" t="n">
        <x:f>MAX($G$908:$G$913)-G909</x:f>
        <x:v>16.796661380147327</x:v>
      </x:c>
      <x:c r="R909" s="73" t="str">
        <x:f>INDEX(TrackMap!$B$8:$B$141,H909)</x:f>
        <x:v>东侧长直道</x:v>
      </x:c>
    </x:row>
    <x:row r="910" ht="20" customHeight="1">
      <x:c r="A910" s="73" t="n">
        <x:v>150</x:v>
      </x:c>
      <x:c r="B910" s="73" t="n">
        <x:v>3</x:v>
      </x:c>
      <x:c r="C910" s="73" t="str">
        <x:f>INDEX(Drivers!$B$8:$B$13,B910)</x:f>
        <x:v>金翼</x:v>
      </x:c>
      <x:c r="D910" s="83" t="n">
        <x:f>G904</x:f>
        <x:v>510.0172154554875</x:v>
      </x:c>
      <x:c r="E910" s="83" t="str">
        <x:f>IF(A910=0,"GRID",IF(D910&gt;=Control!$B$17,"FINISHED",IF(AND(A910&gt;=INDEX(Drivers!$G$8:$G$13,B910),A910&lt;INDEX(Drivers!$G$8:$G$13,B910)+INDEX(Drivers!$J$8:$J$13,B910)),"PIT",IF(MOD(A910+INDEX(Drivers!$F$8:$F$13,B910),Control!$B$11)&lt;Control!$B$13,"BOOST","RACE"))))</x:f>
        <x:v>RACE</x:v>
      </x:c>
      <x:c r="F910" s="83" t="n">
        <x:f>IF(OR(E910="GRID",E910="FINISHED",E910="PIT"),0,MAX(Control!$B$15,(INDEX(Drivers!$D$8:$D$13,B910)+INDEX(Drivers!$E$8:$E$13,B910)*SIN((A910+INDEX(Drivers!$F$8:$F$13,B910)+Control!$B$16)*Control!$B$14))*INDEX(TrackMap!$M$8:$M$141,MOD(INT(D910)-1,Control!$B$7)+1)*IF(E910="BOOST",Control!$B$12,1)))</x:f>
        <x:v>3.7566012710596475</x:v>
      </x:c>
      <x:c r="G910" s="83" t="n">
        <x:f>IF(A910=0,D910,MIN(Control!$B$17,D910+F910))</x:f>
        <x:v>513.7738167265471</x:v>
      </x:c>
      <x:c r="H910" s="73" t="n">
        <x:f>MOD(INT(G910)-1,Control!$B$7)+1</x:f>
        <x:v>111</x:v>
      </x:c>
      <x:c r="I910" s="73" t="n">
        <x:f>MIN(Control!$B$6,MAX(1,INT(MAX(0,G910)/Control!$B$7)+1))</x:f>
        <x:v>4</x:v>
      </x:c>
      <x:c r="J910" s="73" t="n">
        <x:f>INDEX(Drivers!$H$8:$H$13,B910)</x:f>
        <x:v>1</x:v>
      </x:c>
      <x:c r="K910" s="73" t="n">
        <x:f>IF(J910=1,INDEX(TrackMap!$I$8:$I$141,H910),INDEX(TrackMap!$L$8:$L$141,H910))</x:f>
        <x:v>3140</x:v>
      </x:c>
      <x:c r="L910" s="73" t="str">
        <x:f>INDEX(TrackMap!$F$8:$F$141,H910)</x:f>
        <x:v>←</x:v>
      </x:c>
      <x:c r="M910" s="87" t="n">
        <x:f>MAX(0,G910/Control!$B$17)</x:f>
        <x:v>0.7668265921291748</x:v>
      </x:c>
      <x:c r="N910" s="73" t="n">
        <x:f>IF(N904&gt;0,N904,IF(G910&gt;=Control!$B$17,A910,0))</x:f>
        <x:v>0</x:v>
      </x:c>
      <x:c r="O910" s="91" t="n">
        <x:f>IF(N910&gt;0,Control!$B$17+Control!$B$8+1-N910,G910)-B910/100000</x:f>
        <x:v>513.7737867265471</x:v>
      </x:c>
      <x:c r="P910" s="73" t="n">
        <x:f>COUNTIF($O$908:$O$913,"&gt;"&amp;O910)+1</x:f>
        <x:v>1</x:v>
      </x:c>
      <x:c r="Q910" s="83" t="n">
        <x:f>MAX($G$908:$G$913)-G910</x:f>
        <x:v>0</x:v>
      </x:c>
      <x:c r="R910" s="73" t="str">
        <x:f>INDEX(TrackMap!$B$8:$B$141,H910)</x:f>
        <x:v>发车大直道</x:v>
      </x:c>
    </x:row>
    <x:row r="911" ht="20" customHeight="1">
      <x:c r="A911" s="73" t="n">
        <x:v>150</x:v>
      </x:c>
      <x:c r="B911" s="73" t="n">
        <x:v>4</x:v>
      </x:c>
      <x:c r="C911" s="73" t="str">
        <x:f>INDEX(Drivers!$B$8:$B$13,B911)</x:f>
        <x:v>紫影</x:v>
      </x:c>
      <x:c r="D911" s="83" t="n">
        <x:f>G905</x:f>
        <x:v>497.2818656804739</x:v>
      </x:c>
      <x:c r="E911" s="83" t="str">
        <x:f>IF(A911=0,"GRID",IF(D911&gt;=Control!$B$17,"FINISHED",IF(AND(A911&gt;=INDEX(Drivers!$G$8:$G$13,B911),A911&lt;INDEX(Drivers!$G$8:$G$13,B911)+INDEX(Drivers!$J$8:$J$13,B911)),"PIT",IF(MOD(A911+INDEX(Drivers!$F$8:$F$13,B911),Control!$B$11)&lt;Control!$B$13,"BOOST","RACE"))))</x:f>
        <x:v>RACE</x:v>
      </x:c>
      <x:c r="F911" s="83" t="n">
        <x:f>IF(OR(E911="GRID",E911="FINISHED",E911="PIT"),0,MAX(Control!$B$15,(INDEX(Drivers!$D$8:$D$13,B911)+INDEX(Drivers!$E$8:$E$13,B911)*SIN((A911+INDEX(Drivers!$F$8:$F$13,B911)+Control!$B$16)*Control!$B$14))*INDEX(TrackMap!$M$8:$M$141,MOD(INT(D911)-1,Control!$B$7)+1)*IF(E911="BOOST",Control!$B$12,1)))</x:f>
        <x:v>3.2420881866665074</x:v>
      </x:c>
      <x:c r="G911" s="83" t="n">
        <x:f>IF(A911=0,D911,MIN(Control!$B$17,D911+F911))</x:f>
        <x:v>500.52395386714045</x:v>
      </x:c>
      <x:c r="H911" s="73" t="n">
        <x:f>MOD(INT(G911)-1,Control!$B$7)+1</x:f>
        <x:v>98</x:v>
      </x:c>
      <x:c r="I911" s="73" t="n">
        <x:f>MIN(Control!$B$6,MAX(1,INT(MAX(0,G911)/Control!$B$7)+1))</x:f>
        <x:v>4</x:v>
      </x:c>
      <x:c r="J911" s="73" t="n">
        <x:f>INDEX(Drivers!$H$8:$H$13,B911)</x:f>
        <x:v>2</x:v>
      </x:c>
      <x:c r="K911" s="73" t="n">
        <x:f>IF(J911=1,INDEX(TrackMap!$I$8:$I$141,H911),INDEX(TrackMap!$L$8:$L$141,H911))</x:f>
        <x:v>2751</x:v>
      </x:c>
      <x:c r="L911" s="73" t="str">
        <x:f>INDEX(TrackMap!$F$8:$F$141,H911)</x:f>
        <x:v>↓</x:v>
      </x:c>
      <x:c r="M911" s="87" t="n">
        <x:f>MAX(0,G911/Control!$B$17)</x:f>
        <x:v>0.7470506774136425</x:v>
      </x:c>
      <x:c r="N911" s="73" t="n">
        <x:f>IF(N905&gt;0,N905,IF(G911&gt;=Control!$B$17,A911,0))</x:f>
        <x:v>0</x:v>
      </x:c>
      <x:c r="O911" s="91" t="n">
        <x:f>IF(N911&gt;0,Control!$B$17+Control!$B$8+1-N911,G911)-B911/100000</x:f>
        <x:v>500.52391386714044</x:v>
      </x:c>
      <x:c r="P911" s="73" t="n">
        <x:f>COUNTIF($O$908:$O$913,"&gt;"&amp;O911)+1</x:f>
        <x:v>5</x:v>
      </x:c>
      <x:c r="Q911" s="83" t="n">
        <x:f>MAX($G$908:$G$913)-G911</x:f>
        <x:v>13.249862859406676</x:v>
      </x:c>
      <x:c r="R911" s="73" t="str">
        <x:f>INDEX(TrackMap!$B$8:$B$141,H911)</x:f>
        <x:v>东侧长直道</x:v>
      </x:c>
    </x:row>
    <x:row r="912" ht="20" customHeight="1">
      <x:c r="A912" s="73" t="n">
        <x:v>150</x:v>
      </x:c>
      <x:c r="B912" s="73" t="n">
        <x:v>5</x:v>
      </x:c>
      <x:c r="C912" s="73" t="str">
        <x:f>INDEX(Drivers!$B$8:$B$13,B912)</x:f>
        <x:v>青锋</x:v>
      </x:c>
      <x:c r="D912" s="83" t="n">
        <x:f>G906</x:f>
        <x:v>504.8923905256246</x:v>
      </x:c>
      <x:c r="E912" s="83" t="str">
        <x:f>IF(A912=0,"GRID",IF(D912&gt;=Control!$B$17,"FINISHED",IF(AND(A912&gt;=INDEX(Drivers!$G$8:$G$13,B912),A912&lt;INDEX(Drivers!$G$8:$G$13,B912)+INDEX(Drivers!$J$8:$J$13,B912)),"PIT",IF(MOD(A912+INDEX(Drivers!$F$8:$F$13,B912),Control!$B$11)&lt;Control!$B$13,"BOOST","RACE"))))</x:f>
        <x:v>BOOST</x:v>
      </x:c>
      <x:c r="F912" s="83" t="n">
        <x:f>IF(OR(E912="GRID",E912="FINISHED",E912="PIT"),0,MAX(Control!$B$15,(INDEX(Drivers!$D$8:$D$13,B912)+INDEX(Drivers!$E$8:$E$13,B912)*SIN((A912+INDEX(Drivers!$F$8:$F$13,B912)+Control!$B$16)*Control!$B$14))*INDEX(TrackMap!$M$8:$M$141,MOD(INT(D912)-1,Control!$B$7)+1)*IF(E912="BOOST",Control!$B$12,1)))</x:f>
        <x:v>3.4815681784423025</x:v>
      </x:c>
      <x:c r="G912" s="83" t="n">
        <x:f>IF(A912=0,D912,MIN(Control!$B$17,D912+F912))</x:f>
        <x:v>508.3739587040669</x:v>
      </x:c>
      <x:c r="H912" s="73" t="n">
        <x:f>MOD(INT(G912)-1,Control!$B$7)+1</x:f>
        <x:v>106</x:v>
      </x:c>
      <x:c r="I912" s="73" t="n">
        <x:f>MIN(Control!$B$6,MAX(1,INT(MAX(0,G912)/Control!$B$7)+1))</x:f>
        <x:v>4</x:v>
      </x:c>
      <x:c r="J912" s="73" t="n">
        <x:f>INDEX(Drivers!$H$8:$H$13,B912)</x:f>
        <x:v>1</x:v>
      </x:c>
      <x:c r="K912" s="73" t="n">
        <x:f>IF(J912=1,INDEX(TrackMap!$I$8:$I$141,H912),INDEX(TrackMap!$L$8:$L$141,H912))</x:f>
        <x:v>3145</x:v>
      </x:c>
      <x:c r="L912" s="73" t="str">
        <x:f>INDEX(TrackMap!$F$8:$F$141,H912)</x:f>
        <x:v>←</x:v>
      </x:c>
      <x:c r="M912" s="87" t="n">
        <x:f>MAX(0,G912/Control!$B$17)</x:f>
        <x:v>0.7587671025433834</x:v>
      </x:c>
      <x:c r="N912" s="73" t="n">
        <x:f>IF(N906&gt;0,N906,IF(G912&gt;=Control!$B$17,A912,0))</x:f>
        <x:v>0</x:v>
      </x:c>
      <x:c r="O912" s="91" t="n">
        <x:f>IF(N912&gt;0,Control!$B$17+Control!$B$8+1-N912,G912)-B912/100000</x:f>
        <x:v>508.37390870406693</x:v>
      </x:c>
      <x:c r="P912" s="73" t="n">
        <x:f>COUNTIF($O$908:$O$913,"&gt;"&amp;O912)+1</x:f>
        <x:v>4</x:v>
      </x:c>
      <x:c r="Q912" s="83" t="n">
        <x:f>MAX($G$908:$G$913)-G912</x:f>
        <x:v>5.399858022480203</x:v>
      </x:c>
      <x:c r="R912" s="73" t="str">
        <x:f>INDEX(TrackMap!$B$8:$B$141,H912)</x:f>
        <x:v>发车大直道</x:v>
      </x:c>
    </x:row>
    <x:row r="913" ht="20" customHeight="1">
      <x:c r="A913" s="73" t="n">
        <x:v>150</x:v>
      </x:c>
      <x:c r="B913" s="73" t="n">
        <x:v>6</x:v>
      </x:c>
      <x:c r="C913" s="73" t="str">
        <x:f>INDEX(Drivers!$B$8:$B$13,B913)</x:f>
        <x:v>玫速</x:v>
      </x:c>
      <x:c r="D913" s="83" t="n">
        <x:f>G907</x:f>
        <x:v>505.0148583023297</x:v>
      </x:c>
      <x:c r="E913" s="83" t="str">
        <x:f>IF(A913=0,"GRID",IF(D913&gt;=Control!$B$17,"FINISHED",IF(AND(A913&gt;=INDEX(Drivers!$G$8:$G$13,B913),A913&lt;INDEX(Drivers!$G$8:$G$13,B913)+INDEX(Drivers!$J$8:$J$13,B913)),"PIT",IF(MOD(A913+INDEX(Drivers!$F$8:$F$13,B913),Control!$B$11)&lt;Control!$B$13,"BOOST","RACE"))))</x:f>
        <x:v>RACE</x:v>
      </x:c>
      <x:c r="F913" s="83" t="n">
        <x:f>IF(OR(E913="GRID",E913="FINISHED",E913="PIT"),0,MAX(Control!$B$15,(INDEX(Drivers!$D$8:$D$13,B913)+INDEX(Drivers!$E$8:$E$13,B913)*SIN((A913+INDEX(Drivers!$F$8:$F$13,B913)+Control!$B$16)*Control!$B$14))*INDEX(TrackMap!$M$8:$M$141,MOD(INT(D913)-1,Control!$B$7)+1)*IF(E913="BOOST",Control!$B$12,1)))</x:f>
        <x:v>4.24416673272731</x:v>
      </x:c>
      <x:c r="G913" s="83" t="n">
        <x:f>IF(A913=0,D913,MIN(Control!$B$17,D913+F913))</x:f>
        <x:v>509.259025035057</x:v>
      </x:c>
      <x:c r="H913" s="73" t="n">
        <x:f>MOD(INT(G913)-1,Control!$B$7)+1</x:f>
        <x:v>107</x:v>
      </x:c>
      <x:c r="I913" s="73" t="n">
        <x:f>MIN(Control!$B$6,MAX(1,INT(MAX(0,G913)/Control!$B$7)+1))</x:f>
        <x:v>4</x:v>
      </x:c>
      <x:c r="J913" s="73" t="n">
        <x:f>INDEX(Drivers!$H$8:$H$13,B913)</x:f>
        <x:v>2</x:v>
      </x:c>
      <x:c r="K913" s="73" t="n">
        <x:f>IF(J913=1,INDEX(TrackMap!$I$8:$I$141,H913),INDEX(TrackMap!$L$8:$L$141,H913))</x:f>
        <x:v>3044</x:v>
      </x:c>
      <x:c r="L913" s="73" t="str">
        <x:f>INDEX(TrackMap!$F$8:$F$141,H913)</x:f>
        <x:v>←</x:v>
      </x:c>
      <x:c r="M913" s="87" t="n">
        <x:f>MAX(0,G913/Control!$B$17)</x:f>
        <x:v>0.7600880970672492</x:v>
      </x:c>
      <x:c r="N913" s="73" t="n">
        <x:f>IF(N907&gt;0,N907,IF(G913&gt;=Control!$B$17,A913,0))</x:f>
        <x:v>0</x:v>
      </x:c>
      <x:c r="O913" s="91" t="n">
        <x:f>IF(N913&gt;0,Control!$B$17+Control!$B$8+1-N913,G913)-B913/100000</x:f>
        <x:v>509.258965035057</x:v>
      </x:c>
      <x:c r="P913" s="73" t="n">
        <x:f>COUNTIF($O$908:$O$913,"&gt;"&amp;O913)+1</x:f>
        <x:v>3</x:v>
      </x:c>
      <x:c r="Q913" s="83" t="n">
        <x:f>MAX($G$908:$G$913)-G913</x:f>
        <x:v>4.514791691490132</x:v>
      </x:c>
      <x:c r="R913" s="73" t="str">
        <x:f>INDEX(TrackMap!$B$8:$B$141,H913)</x:f>
        <x:v>发车大直道</x:v>
      </x:c>
    </x:row>
    <x:row r="914" ht="20" customHeight="1">
      <x:c r="A914" s="73" t="n">
        <x:v>151</x:v>
      </x:c>
      <x:c r="B914" s="73" t="n">
        <x:v>1</x:v>
      </x:c>
      <x:c r="C914" s="73" t="str">
        <x:f>INDEX(Drivers!$B$8:$B$13,B914)</x:f>
        <x:v>赤焰</x:v>
      </x:c>
      <x:c r="D914" s="83" t="n">
        <x:f>G908</x:f>
        <x:v>513.4599963816222</x:v>
      </x:c>
      <x:c r="E914" s="83" t="str">
        <x:f>IF(A914=0,"GRID",IF(D914&gt;=Control!$B$17,"FINISHED",IF(AND(A914&gt;=INDEX(Drivers!$G$8:$G$13,B914),A914&lt;INDEX(Drivers!$G$8:$G$13,B914)+INDEX(Drivers!$J$8:$J$13,B914)),"PIT",IF(MOD(A914+INDEX(Drivers!$F$8:$F$13,B914),Control!$B$11)&lt;Control!$B$13,"BOOST","RACE"))))</x:f>
        <x:v>RACE</x:v>
      </x:c>
      <x:c r="F914" s="83" t="n">
        <x:f>IF(OR(E914="GRID",E914="FINISHED",E914="PIT"),0,MAX(Control!$B$15,(INDEX(Drivers!$D$8:$D$13,B914)+INDEX(Drivers!$E$8:$E$13,B914)*SIN((A914+INDEX(Drivers!$F$8:$F$13,B914)+Control!$B$16)*Control!$B$14))*INDEX(TrackMap!$M$8:$M$141,MOD(INT(D914)-1,Control!$B$7)+1)*IF(E914="BOOST",Control!$B$12,1)))</x:f>
        <x:v>3.1122044561541737</x:v>
      </x:c>
      <x:c r="G914" s="83" t="n">
        <x:f>IF(A914=0,D914,MIN(Control!$B$17,D914+F914))</x:f>
        <x:v>516.5722008377763</x:v>
      </x:c>
      <x:c r="H914" s="73" t="n">
        <x:f>MOD(INT(G914)-1,Control!$B$7)+1</x:f>
        <x:v>114</x:v>
      </x:c>
      <x:c r="I914" s="73" t="n">
        <x:f>MIN(Control!$B$6,MAX(1,INT(MAX(0,G914)/Control!$B$7)+1))</x:f>
        <x:v>4</x:v>
      </x:c>
      <x:c r="J914" s="73" t="n">
        <x:f>INDEX(Drivers!$H$8:$H$13,B914)</x:f>
        <x:v>1</x:v>
      </x:c>
      <x:c r="K914" s="73" t="n">
        <x:f>IF(J914=1,INDEX(TrackMap!$I$8:$I$141,H914),INDEX(TrackMap!$L$8:$L$141,H914))</x:f>
        <x:v>3137</x:v>
      </x:c>
      <x:c r="L914" s="73" t="str">
        <x:f>INDEX(TrackMap!$F$8:$F$141,H914)</x:f>
        <x:v>←</x:v>
      </x:c>
      <x:c r="M914" s="87" t="n">
        <x:f>MAX(0,G914/Control!$B$17)</x:f>
        <x:v>0.771003284832502</x:v>
      </x:c>
      <x:c r="N914" s="73" t="n">
        <x:f>IF(N908&gt;0,N908,IF(G914&gt;=Control!$B$17,A914,0))</x:f>
        <x:v>0</x:v>
      </x:c>
      <x:c r="O914" s="91" t="n">
        <x:f>IF(N914&gt;0,Control!$B$17+Control!$B$8+1-N914,G914)-B914/100000</x:f>
        <x:v>516.5721908377764</x:v>
      </x:c>
      <x:c r="P914" s="73" t="n">
        <x:f>COUNTIF($O$914:$O$919,"&gt;"&amp;O914)+1</x:f>
        <x:v>2</x:v>
      </x:c>
      <x:c r="Q914" s="83" t="n">
        <x:f>MAX($G$914:$G$919)-G914</x:f>
        <x:v>0.7747413298501442</x:v>
      </x:c>
      <x:c r="R914" s="73" t="str">
        <x:f>INDEX(TrackMap!$B$8:$B$141,H914)</x:f>
        <x:v>发车大直道</x:v>
      </x:c>
    </x:row>
    <x:row r="915" ht="20" customHeight="1">
      <x:c r="A915" s="73" t="n">
        <x:v>151</x:v>
      </x:c>
      <x:c r="B915" s="73" t="n">
        <x:v>2</x:v>
      </x:c>
      <x:c r="C915" s="73" t="str">
        <x:f>INDEX(Drivers!$B$8:$B$13,B915)</x:f>
        <x:v>蓝电</x:v>
      </x:c>
      <x:c r="D915" s="83" t="n">
        <x:f>G909</x:f>
        <x:v>496.9771553463998</x:v>
      </x:c>
      <x:c r="E915" s="83" t="str">
        <x:f>IF(A915=0,"GRID",IF(D915&gt;=Control!$B$17,"FINISHED",IF(AND(A915&gt;=INDEX(Drivers!$G$8:$G$13,B915),A915&lt;INDEX(Drivers!$G$8:$G$13,B915)+INDEX(Drivers!$J$8:$J$13,B915)),"PIT",IF(MOD(A915+INDEX(Drivers!$F$8:$F$13,B915),Control!$B$11)&lt;Control!$B$13,"BOOST","RACE"))))</x:f>
        <x:v>RACE</x:v>
      </x:c>
      <x:c r="F915" s="83" t="n">
        <x:f>IF(OR(E915="GRID",E915="FINISHED",E915="PIT"),0,MAX(Control!$B$15,(INDEX(Drivers!$D$8:$D$13,B915)+INDEX(Drivers!$E$8:$E$13,B915)*SIN((A915+INDEX(Drivers!$F$8:$F$13,B915)+Control!$B$16)*Control!$B$14))*INDEX(TrackMap!$M$8:$M$141,MOD(INT(D915)-1,Control!$B$7)+1)*IF(E915="BOOST",Control!$B$12,1)))</x:f>
        <x:v>4.013804944867901</x:v>
      </x:c>
      <x:c r="G915" s="83" t="n">
        <x:f>IF(A915=0,D915,MIN(Control!$B$17,D915+F915))</x:f>
        <x:v>500.9909602912677</x:v>
      </x:c>
      <x:c r="H915" s="73" t="n">
        <x:f>MOD(INT(G915)-1,Control!$B$7)+1</x:f>
        <x:v>98</x:v>
      </x:c>
      <x:c r="I915" s="73" t="n">
        <x:f>MIN(Control!$B$6,MAX(1,INT(MAX(0,G915)/Control!$B$7)+1))</x:f>
        <x:v>4</x:v>
      </x:c>
      <x:c r="J915" s="73" t="n">
        <x:f>INDEX(Drivers!$H$8:$H$13,B915)</x:f>
        <x:v>2</x:v>
      </x:c>
      <x:c r="K915" s="73" t="n">
        <x:f>IF(J915=1,INDEX(TrackMap!$I$8:$I$141,H915),INDEX(TrackMap!$L$8:$L$141,H915))</x:f>
        <x:v>2751</x:v>
      </x:c>
      <x:c r="L915" s="73" t="str">
        <x:f>INDEX(TrackMap!$F$8:$F$141,H915)</x:f>
        <x:v>↓</x:v>
      </x:c>
      <x:c r="M915" s="87" t="n">
        <x:f>MAX(0,G915/Control!$B$17)</x:f>
        <x:v>0.7477477019272653</x:v>
      </x:c>
      <x:c r="N915" s="73" t="n">
        <x:f>IF(N909&gt;0,N909,IF(G915&gt;=Control!$B$17,A915,0))</x:f>
        <x:v>0</x:v>
      </x:c>
      <x:c r="O915" s="91" t="n">
        <x:f>IF(N915&gt;0,Control!$B$17+Control!$B$8+1-N915,G915)-B915/100000</x:f>
        <x:v>500.9909402912677</x:v>
      </x:c>
      <x:c r="P915" s="73" t="n">
        <x:f>COUNTIF($O$914:$O$919,"&gt;"&amp;O915)+1</x:f>
        <x:v>6</x:v>
      </x:c>
      <x:c r="Q915" s="83" t="n">
        <x:f>MAX($G$914:$G$919)-G915</x:f>
        <x:v>16.355981876358783</x:v>
      </x:c>
      <x:c r="R915" s="73" t="str">
        <x:f>INDEX(TrackMap!$B$8:$B$141,H915)</x:f>
        <x:v>东侧长直道</x:v>
      </x:c>
    </x:row>
    <x:row r="916" ht="20" customHeight="1">
      <x:c r="A916" s="73" t="n">
        <x:v>151</x:v>
      </x:c>
      <x:c r="B916" s="73" t="n">
        <x:v>3</x:v>
      </x:c>
      <x:c r="C916" s="73" t="str">
        <x:f>INDEX(Drivers!$B$8:$B$13,B916)</x:f>
        <x:v>金翼</x:v>
      </x:c>
      <x:c r="D916" s="83" t="n">
        <x:f>G910</x:f>
        <x:v>513.7738167265471</x:v>
      </x:c>
      <x:c r="E916" s="83" t="str">
        <x:f>IF(A916=0,"GRID",IF(D916&gt;=Control!$B$17,"FINISHED",IF(AND(A916&gt;=INDEX(Drivers!$G$8:$G$13,B916),A916&lt;INDEX(Drivers!$G$8:$G$13,B916)+INDEX(Drivers!$J$8:$J$13,B916)),"PIT",IF(MOD(A916+INDEX(Drivers!$F$8:$F$13,B916),Control!$B$11)&lt;Control!$B$13,"BOOST","RACE"))))</x:f>
        <x:v>RACE</x:v>
      </x:c>
      <x:c r="F916" s="83" t="n">
        <x:f>IF(OR(E916="GRID",E916="FINISHED",E916="PIT"),0,MAX(Control!$B$15,(INDEX(Drivers!$D$8:$D$13,B916)+INDEX(Drivers!$E$8:$E$13,B916)*SIN((A916+INDEX(Drivers!$F$8:$F$13,B916)+Control!$B$16)*Control!$B$14))*INDEX(TrackMap!$M$8:$M$141,MOD(INT(D916)-1,Control!$B$7)+1)*IF(E916="BOOST",Control!$B$12,1)))</x:f>
        <x:v>3.5731254410793944</x:v>
      </x:c>
      <x:c r="G916" s="83" t="n">
        <x:f>IF(A916=0,D916,MIN(Control!$B$17,D916+F916))</x:f>
        <x:v>517.3469421676265</x:v>
      </x:c>
      <x:c r="H916" s="73" t="n">
        <x:f>MOD(INT(G916)-1,Control!$B$7)+1</x:f>
        <x:v>115</x:v>
      </x:c>
      <x:c r="I916" s="73" t="n">
        <x:f>MIN(Control!$B$6,MAX(1,INT(MAX(0,G916)/Control!$B$7)+1))</x:f>
        <x:v>4</x:v>
      </x:c>
      <x:c r="J916" s="73" t="n">
        <x:f>INDEX(Drivers!$H$8:$H$13,B916)</x:f>
        <x:v>1</x:v>
      </x:c>
      <x:c r="K916" s="73" t="n">
        <x:f>IF(J916=1,INDEX(TrackMap!$I$8:$I$141,H916),INDEX(TrackMap!$L$8:$L$141,H916))</x:f>
        <x:v>3136</x:v>
      </x:c>
      <x:c r="L916" s="73" t="str">
        <x:f>INDEX(TrackMap!$F$8:$F$141,H916)</x:f>
        <x:v>←</x:v>
      </x:c>
      <x:c r="M916" s="87" t="n">
        <x:f>MAX(0,G916/Control!$B$17)</x:f>
        <x:v>0.7721596151755619</x:v>
      </x:c>
      <x:c r="N916" s="73" t="n">
        <x:f>IF(N910&gt;0,N910,IF(G916&gt;=Control!$B$17,A916,0))</x:f>
        <x:v>0</x:v>
      </x:c>
      <x:c r="O916" s="91" t="n">
        <x:f>IF(N916&gt;0,Control!$B$17+Control!$B$8+1-N916,G916)-B916/100000</x:f>
        <x:v>517.3469121676264</x:v>
      </x:c>
      <x:c r="P916" s="73" t="n">
        <x:f>COUNTIF($O$914:$O$919,"&gt;"&amp;O916)+1</x:f>
        <x:v>1</x:v>
      </x:c>
      <x:c r="Q916" s="83" t="n">
        <x:f>MAX($G$914:$G$919)-G916</x:f>
        <x:v>0</x:v>
      </x:c>
      <x:c r="R916" s="73" t="str">
        <x:f>INDEX(TrackMap!$B$8:$B$141,H916)</x:f>
        <x:v>发车大直道</x:v>
      </x:c>
    </x:row>
    <x:row r="917" ht="20" customHeight="1">
      <x:c r="A917" s="73" t="n">
        <x:v>151</x:v>
      </x:c>
      <x:c r="B917" s="73" t="n">
        <x:v>4</x:v>
      </x:c>
      <x:c r="C917" s="73" t="str">
        <x:f>INDEX(Drivers!$B$8:$B$13,B917)</x:f>
        <x:v>紫影</x:v>
      </x:c>
      <x:c r="D917" s="83" t="n">
        <x:f>G911</x:f>
        <x:v>500.52395386714045</x:v>
      </x:c>
      <x:c r="E917" s="83" t="str">
        <x:f>IF(A917=0,"GRID",IF(D917&gt;=Control!$B$17,"FINISHED",IF(AND(A917&gt;=INDEX(Drivers!$G$8:$G$13,B917),A917&lt;INDEX(Drivers!$G$8:$G$13,B917)+INDEX(Drivers!$J$8:$J$13,B917)),"PIT",IF(MOD(A917+INDEX(Drivers!$F$8:$F$13,B917),Control!$B$11)&lt;Control!$B$13,"BOOST","RACE"))))</x:f>
        <x:v>RACE</x:v>
      </x:c>
      <x:c r="F917" s="83" t="n">
        <x:f>IF(OR(E917="GRID",E917="FINISHED",E917="PIT"),0,MAX(Control!$B$15,(INDEX(Drivers!$D$8:$D$13,B917)+INDEX(Drivers!$E$8:$E$13,B917)*SIN((A917+INDEX(Drivers!$F$8:$F$13,B917)+Control!$B$16)*Control!$B$14))*INDEX(TrackMap!$M$8:$M$141,MOD(INT(D917)-1,Control!$B$7)+1)*IF(E917="BOOST",Control!$B$12,1)))</x:f>
        <x:v>3.431349588822639</x:v>
      </x:c>
      <x:c r="G917" s="83" t="n">
        <x:f>IF(A917=0,D917,MIN(Control!$B$17,D917+F917))</x:f>
        <x:v>503.9553034559631</x:v>
      </x:c>
      <x:c r="H917" s="73" t="n">
        <x:f>MOD(INT(G917)-1,Control!$B$7)+1</x:f>
        <x:v>101</x:v>
      </x:c>
      <x:c r="I917" s="73" t="n">
        <x:f>MIN(Control!$B$6,MAX(1,INT(MAX(0,G917)/Control!$B$7)+1))</x:f>
        <x:v>4</x:v>
      </x:c>
      <x:c r="J917" s="73" t="n">
        <x:f>INDEX(Drivers!$H$8:$H$13,B917)</x:f>
        <x:v>2</x:v>
      </x:c>
      <x:c r="K917" s="73" t="n">
        <x:f>IF(J917=1,INDEX(TrackMap!$I$8:$I$141,H917),INDEX(TrackMap!$L$8:$L$141,H917))</x:f>
        <x:v>3050</x:v>
      </x:c>
      <x:c r="L917" s="73" t="str">
        <x:f>INDEX(TrackMap!$F$8:$F$141,H917)</x:f>
        <x:v>←</x:v>
      </x:c>
      <x:c r="M917" s="87" t="n">
        <x:f>MAX(0,G917/Control!$B$17)</x:f>
        <x:v>0.7521720947103927</x:v>
      </x:c>
      <x:c r="N917" s="73" t="n">
        <x:f>IF(N911&gt;0,N911,IF(G917&gt;=Control!$B$17,A917,0))</x:f>
        <x:v>0</x:v>
      </x:c>
      <x:c r="O917" s="91" t="n">
        <x:f>IF(N917&gt;0,Control!$B$17+Control!$B$8+1-N917,G917)-B917/100000</x:f>
        <x:v>503.95526345596306</x:v>
      </x:c>
      <x:c r="P917" s="73" t="n">
        <x:f>COUNTIF($O$914:$O$919,"&gt;"&amp;O917)+1</x:f>
        <x:v>5</x:v>
      </x:c>
      <x:c r="Q917" s="83" t="n">
        <x:f>MAX($G$914:$G$919)-G917</x:f>
        <x:v>13.391638711663404</x:v>
      </x:c>
      <x:c r="R917" s="73" t="str">
        <x:f>INDEX(TrackMap!$B$8:$B$141,H917)</x:f>
        <x:v>发车大直道</x:v>
      </x:c>
    </x:row>
    <x:row r="918" ht="20" customHeight="1">
      <x:c r="A918" s="73" t="n">
        <x:v>151</x:v>
      </x:c>
      <x:c r="B918" s="73" t="n">
        <x:v>5</x:v>
      </x:c>
      <x:c r="C918" s="73" t="str">
        <x:f>INDEX(Drivers!$B$8:$B$13,B918)</x:f>
        <x:v>青锋</x:v>
      </x:c>
      <x:c r="D918" s="83" t="n">
        <x:f>G912</x:f>
        <x:v>508.3739587040669</x:v>
      </x:c>
      <x:c r="E918" s="83" t="str">
        <x:f>IF(A918=0,"GRID",IF(D918&gt;=Control!$B$17,"FINISHED",IF(AND(A918&gt;=INDEX(Drivers!$G$8:$G$13,B918),A918&lt;INDEX(Drivers!$G$8:$G$13,B918)+INDEX(Drivers!$J$8:$J$13,B918)),"PIT",IF(MOD(A918+INDEX(Drivers!$F$8:$F$13,B918),Control!$B$11)&lt;Control!$B$13,"BOOST","RACE"))))</x:f>
        <x:v>BOOST</x:v>
      </x:c>
      <x:c r="F918" s="83" t="n">
        <x:f>IF(OR(E918="GRID",E918="FINISHED",E918="PIT"),0,MAX(Control!$B$15,(INDEX(Drivers!$D$8:$D$13,B918)+INDEX(Drivers!$E$8:$E$13,B918)*SIN((A918+INDEX(Drivers!$F$8:$F$13,B918)+Control!$B$16)*Control!$B$14))*INDEX(TrackMap!$M$8:$M$141,MOD(INT(D918)-1,Control!$B$7)+1)*IF(E918="BOOST",Control!$B$12,1)))</x:f>
        <x:v>4.691802416235779</x:v>
      </x:c>
      <x:c r="G918" s="83" t="n">
        <x:f>IF(A918=0,D918,MIN(Control!$B$17,D918+F918))</x:f>
        <x:v>513.0657611203027</x:v>
      </x:c>
      <x:c r="H918" s="73" t="n">
        <x:f>MOD(INT(G918)-1,Control!$B$7)+1</x:f>
        <x:v>111</x:v>
      </x:c>
      <x:c r="I918" s="73" t="n">
        <x:f>MIN(Control!$B$6,MAX(1,INT(MAX(0,G918)/Control!$B$7)+1))</x:f>
        <x:v>4</x:v>
      </x:c>
      <x:c r="J918" s="73" t="n">
        <x:f>INDEX(Drivers!$H$8:$H$13,B918)</x:f>
        <x:v>1</x:v>
      </x:c>
      <x:c r="K918" s="73" t="n">
        <x:f>IF(J918=1,INDEX(TrackMap!$I$8:$I$141,H918),INDEX(TrackMap!$L$8:$L$141,H918))</x:f>
        <x:v>3140</x:v>
      </x:c>
      <x:c r="L918" s="73" t="str">
        <x:f>INDEX(TrackMap!$F$8:$F$141,H918)</x:f>
        <x:v>←</x:v>
      </x:c>
      <x:c r="M918" s="87" t="n">
        <x:f>MAX(0,G918/Control!$B$17)</x:f>
        <x:v>0.7657697927168696</x:v>
      </x:c>
      <x:c r="N918" s="73" t="n">
        <x:f>IF(N912&gt;0,N912,IF(G918&gt;=Control!$B$17,A918,0))</x:f>
        <x:v>0</x:v>
      </x:c>
      <x:c r="O918" s="91" t="n">
        <x:f>IF(N918&gt;0,Control!$B$17+Control!$B$8+1-N918,G918)-B918/100000</x:f>
        <x:v>513.0657111203027</x:v>
      </x:c>
      <x:c r="P918" s="73" t="n">
        <x:f>COUNTIF($O$914:$O$919,"&gt;"&amp;O918)+1</x:f>
        <x:v>4</x:v>
      </x:c>
      <x:c r="Q918" s="83" t="n">
        <x:f>MAX($G$914:$G$919)-G918</x:f>
        <x:v>4.281181047323798</x:v>
      </x:c>
      <x:c r="R918" s="73" t="str">
        <x:f>INDEX(TrackMap!$B$8:$B$141,H918)</x:f>
        <x:v>发车大直道</x:v>
      </x:c>
    </x:row>
    <x:row r="919" ht="20" customHeight="1">
      <x:c r="A919" s="73" t="n">
        <x:v>151</x:v>
      </x:c>
      <x:c r="B919" s="73" t="n">
        <x:v>6</x:v>
      </x:c>
      <x:c r="C919" s="73" t="str">
        <x:f>INDEX(Drivers!$B$8:$B$13,B919)</x:f>
        <x:v>玫速</x:v>
      </x:c>
      <x:c r="D919" s="83" t="n">
        <x:f>G913</x:f>
        <x:v>509.259025035057</x:v>
      </x:c>
      <x:c r="E919" s="83" t="str">
        <x:f>IF(A919=0,"GRID",IF(D919&gt;=Control!$B$17,"FINISHED",IF(AND(A919&gt;=INDEX(Drivers!$G$8:$G$13,B919),A919&lt;INDEX(Drivers!$G$8:$G$13,B919)+INDEX(Drivers!$J$8:$J$13,B919)),"PIT",IF(MOD(A919+INDEX(Drivers!$F$8:$F$13,B919),Control!$B$11)&lt;Control!$B$13,"BOOST","RACE"))))</x:f>
        <x:v>RACE</x:v>
      </x:c>
      <x:c r="F919" s="83" t="n">
        <x:f>IF(OR(E919="GRID",E919="FINISHED",E919="PIT"),0,MAX(Control!$B$15,(INDEX(Drivers!$D$8:$D$13,B919)+INDEX(Drivers!$E$8:$E$13,B919)*SIN((A919+INDEX(Drivers!$F$8:$F$13,B919)+Control!$B$16)*Control!$B$14))*INDEX(TrackMap!$M$8:$M$141,MOD(INT(D919)-1,Control!$B$7)+1)*IF(E919="BOOST",Control!$B$12,1)))</x:f>
        <x:v>4.132130036803727</x:v>
      </x:c>
      <x:c r="G919" s="83" t="n">
        <x:f>IF(A919=0,D919,MIN(Control!$B$17,D919+F919))</x:f>
        <x:v>513.3911550718607</x:v>
      </x:c>
      <x:c r="H919" s="73" t="n">
        <x:f>MOD(INT(G919)-1,Control!$B$7)+1</x:f>
        <x:v>111</x:v>
      </x:c>
      <x:c r="I919" s="73" t="n">
        <x:f>MIN(Control!$B$6,MAX(1,INT(MAX(0,G919)/Control!$B$7)+1))</x:f>
        <x:v>4</x:v>
      </x:c>
      <x:c r="J919" s="73" t="n">
        <x:f>INDEX(Drivers!$H$8:$H$13,B919)</x:f>
        <x:v>2</x:v>
      </x:c>
      <x:c r="K919" s="73" t="n">
        <x:f>IF(J919=1,INDEX(TrackMap!$I$8:$I$141,H919),INDEX(TrackMap!$L$8:$L$141,H919))</x:f>
        <x:v>3040</x:v>
      </x:c>
      <x:c r="L919" s="73" t="str">
        <x:f>INDEX(TrackMap!$F$8:$F$141,H919)</x:f>
        <x:v>←</x:v>
      </x:c>
      <x:c r="M919" s="87" t="n">
        <x:f>MAX(0,G919/Control!$B$17)</x:f>
        <x:v>0.7662554553311354</x:v>
      </x:c>
      <x:c r="N919" s="73" t="n">
        <x:f>IF(N913&gt;0,N913,IF(G919&gt;=Control!$B$17,A919,0))</x:f>
        <x:v>0</x:v>
      </x:c>
      <x:c r="O919" s="91" t="n">
        <x:f>IF(N919&gt;0,Control!$B$17+Control!$B$8+1-N919,G919)-B919/100000</x:f>
        <x:v>513.3910950718607</x:v>
      </x:c>
      <x:c r="P919" s="73" t="n">
        <x:f>COUNTIF($O$914:$O$919,"&gt;"&amp;O919)+1</x:f>
        <x:v>3</x:v>
      </x:c>
      <x:c r="Q919" s="83" t="n">
        <x:f>MAX($G$914:$G$919)-G919</x:f>
        <x:v>3.9557870957657997</x:v>
      </x:c>
      <x:c r="R919" s="73" t="str">
        <x:f>INDEX(TrackMap!$B$8:$B$141,H919)</x:f>
        <x:v>发车大直道</x:v>
      </x:c>
    </x:row>
    <x:row r="920" ht="20" customHeight="1">
      <x:c r="A920" s="73" t="n">
        <x:v>152</x:v>
      </x:c>
      <x:c r="B920" s="73" t="n">
        <x:v>1</x:v>
      </x:c>
      <x:c r="C920" s="73" t="str">
        <x:f>INDEX(Drivers!$B$8:$B$13,B920)</x:f>
        <x:v>赤焰</x:v>
      </x:c>
      <x:c r="D920" s="83" t="n">
        <x:f>G914</x:f>
        <x:v>516.5722008377763</x:v>
      </x:c>
      <x:c r="E920" s="83" t="str">
        <x:f>IF(A920=0,"GRID",IF(D920&gt;=Control!$B$17,"FINISHED",IF(AND(A920&gt;=INDEX(Drivers!$G$8:$G$13,B920),A920&lt;INDEX(Drivers!$G$8:$G$13,B920)+INDEX(Drivers!$J$8:$J$13,B920)),"PIT",IF(MOD(A920+INDEX(Drivers!$F$8:$F$13,B920),Control!$B$11)&lt;Control!$B$13,"BOOST","RACE"))))</x:f>
        <x:v>BOOST</x:v>
      </x:c>
      <x:c r="F920" s="83" t="n">
        <x:f>IF(OR(E920="GRID",E920="FINISHED",E920="PIT"),0,MAX(Control!$B$15,(INDEX(Drivers!$D$8:$D$13,B920)+INDEX(Drivers!$E$8:$E$13,B920)*SIN((A920+INDEX(Drivers!$F$8:$F$13,B920)+Control!$B$16)*Control!$B$14))*INDEX(TrackMap!$M$8:$M$141,MOD(INT(D920)-1,Control!$B$7)+1)*IF(E920="BOOST",Control!$B$12,1)))</x:f>
        <x:v>4.194359145051703</x:v>
      </x:c>
      <x:c r="G920" s="83" t="n">
        <x:f>IF(A920=0,D920,MIN(Control!$B$17,D920+F920))</x:f>
        <x:v>520.7665599828281</x:v>
      </x:c>
      <x:c r="H920" s="73" t="n">
        <x:f>MOD(INT(G920)-1,Control!$B$7)+1</x:f>
        <x:v>118</x:v>
      </x:c>
      <x:c r="I920" s="73" t="n">
        <x:f>MIN(Control!$B$6,MAX(1,INT(MAX(0,G920)/Control!$B$7)+1))</x:f>
        <x:v>4</x:v>
      </x:c>
      <x:c r="J920" s="73" t="n">
        <x:f>INDEX(Drivers!$H$8:$H$13,B920)</x:f>
        <x:v>1</x:v>
      </x:c>
      <x:c r="K920" s="73" t="n">
        <x:f>IF(J920=1,INDEX(TrackMap!$I$8:$I$141,H920),INDEX(TrackMap!$L$8:$L$141,H920))</x:f>
        <x:v>3133</x:v>
      </x:c>
      <x:c r="L920" s="73" t="str">
        <x:f>INDEX(TrackMap!$F$8:$F$141,H920)</x:f>
        <x:v>←</x:v>
      </x:c>
      <x:c r="M920" s="87" t="n">
        <x:f>MAX(0,G920/Control!$B$17)</x:f>
        <x:v>0.77726352236243</x:v>
      </x:c>
      <x:c r="N920" s="73" t="n">
        <x:f>IF(N914&gt;0,N914,IF(G920&gt;=Control!$B$17,A920,0))</x:f>
        <x:v>0</x:v>
      </x:c>
      <x:c r="O920" s="91" t="n">
        <x:f>IF(N920&gt;0,Control!$B$17+Control!$B$8+1-N920,G920)-B920/100000</x:f>
        <x:v>520.7665499828281</x:v>
      </x:c>
      <x:c r="P920" s="73" t="n">
        <x:f>COUNTIF($O$920:$O$925,"&gt;"&amp;O920)+1</x:f>
        <x:v>1</x:v>
      </x:c>
      <x:c r="Q920" s="83" t="n">
        <x:f>MAX($G$920:$G$925)-G920</x:f>
        <x:v>0</x:v>
      </x:c>
      <x:c r="R920" s="73" t="str">
        <x:f>INDEX(TrackMap!$B$8:$B$141,H920)</x:f>
        <x:v>发车大直道</x:v>
      </x:c>
    </x:row>
    <x:row r="921" ht="20" customHeight="1">
      <x:c r="A921" s="73" t="n">
        <x:v>152</x:v>
      </x:c>
      <x:c r="B921" s="73" t="n">
        <x:v>2</x:v>
      </x:c>
      <x:c r="C921" s="73" t="str">
        <x:f>INDEX(Drivers!$B$8:$B$13,B921)</x:f>
        <x:v>蓝电</x:v>
      </x:c>
      <x:c r="D921" s="83" t="n">
        <x:f>G915</x:f>
        <x:v>500.9909602912677</x:v>
      </x:c>
      <x:c r="E921" s="83" t="str">
        <x:f>IF(A921=0,"GRID",IF(D921&gt;=Control!$B$17,"FINISHED",IF(AND(A921&gt;=INDEX(Drivers!$G$8:$G$13,B921),A921&lt;INDEX(Drivers!$G$8:$G$13,B921)+INDEX(Drivers!$J$8:$J$13,B921)),"PIT",IF(MOD(A921+INDEX(Drivers!$F$8:$F$13,B921),Control!$B$11)&lt;Control!$B$13,"BOOST","RACE"))))</x:f>
        <x:v>RACE</x:v>
      </x:c>
      <x:c r="F921" s="83" t="n">
        <x:f>IF(OR(E921="GRID",E921="FINISHED",E921="PIT"),0,MAX(Control!$B$15,(INDEX(Drivers!$D$8:$D$13,B921)+INDEX(Drivers!$E$8:$E$13,B921)*SIN((A921+INDEX(Drivers!$F$8:$F$13,B921)+Control!$B$16)*Control!$B$14))*INDEX(TrackMap!$M$8:$M$141,MOD(INT(D921)-1,Control!$B$7)+1)*IF(E921="BOOST",Control!$B$12,1)))</x:f>
        <x:v>4.134339126563986</x:v>
      </x:c>
      <x:c r="G921" s="83" t="n">
        <x:f>IF(A921=0,D921,MIN(Control!$B$17,D921+F921))</x:f>
        <x:v>505.1252994178317</x:v>
      </x:c>
      <x:c r="H921" s="73" t="n">
        <x:f>MOD(INT(G921)-1,Control!$B$7)+1</x:f>
        <x:v>103</x:v>
      </x:c>
      <x:c r="I921" s="73" t="n">
        <x:f>MIN(Control!$B$6,MAX(1,INT(MAX(0,G921)/Control!$B$7)+1))</x:f>
        <x:v>4</x:v>
      </x:c>
      <x:c r="J921" s="73" t="n">
        <x:f>INDEX(Drivers!$H$8:$H$13,B921)</x:f>
        <x:v>2</x:v>
      </x:c>
      <x:c r="K921" s="73" t="n">
        <x:f>IF(J921=1,INDEX(TrackMap!$I$8:$I$141,H921),INDEX(TrackMap!$L$8:$L$141,H921))</x:f>
        <x:v>3048</x:v>
      </x:c>
      <x:c r="L921" s="73" t="str">
        <x:f>INDEX(TrackMap!$F$8:$F$141,H921)</x:f>
        <x:v>←</x:v>
      </x:c>
      <x:c r="M921" s="87" t="n">
        <x:f>MAX(0,G921/Control!$B$17)</x:f>
        <x:v>0.7539183573400473</x:v>
      </x:c>
      <x:c r="N921" s="73" t="n">
        <x:f>IF(N915&gt;0,N915,IF(G921&gt;=Control!$B$17,A921,0))</x:f>
        <x:v>0</x:v>
      </x:c>
      <x:c r="O921" s="91" t="n">
        <x:f>IF(N921&gt;0,Control!$B$17+Control!$B$8+1-N921,G921)-B921/100000</x:f>
        <x:v>505.1252794178317</x:v>
      </x:c>
      <x:c r="P921" s="73" t="n">
        <x:f>COUNTIF($O$920:$O$925,"&gt;"&amp;O921)+1</x:f>
        <x:v>6</x:v>
      </x:c>
      <x:c r="Q921" s="83" t="n">
        <x:f>MAX($G$920:$G$925)-G921</x:f>
        <x:v>15.6412605649964</x:v>
      </x:c>
      <x:c r="R921" s="73" t="str">
        <x:f>INDEX(TrackMap!$B$8:$B$141,H921)</x:f>
        <x:v>发车大直道</x:v>
      </x:c>
    </x:row>
    <x:row r="922" ht="20" customHeight="1">
      <x:c r="A922" s="73" t="n">
        <x:v>152</x:v>
      </x:c>
      <x:c r="B922" s="73" t="n">
        <x:v>3</x:v>
      </x:c>
      <x:c r="C922" s="73" t="str">
        <x:f>INDEX(Drivers!$B$8:$B$13,B922)</x:f>
        <x:v>金翼</x:v>
      </x:c>
      <x:c r="D922" s="83" t="n">
        <x:f>G916</x:f>
        <x:v>517.3469421676265</x:v>
      </x:c>
      <x:c r="E922" s="83" t="str">
        <x:f>IF(A922=0,"GRID",IF(D922&gt;=Control!$B$17,"FINISHED",IF(AND(A922&gt;=INDEX(Drivers!$G$8:$G$13,B922),A922&lt;INDEX(Drivers!$G$8:$G$13,B922)+INDEX(Drivers!$J$8:$J$13,B922)),"PIT",IF(MOD(A922+INDEX(Drivers!$F$8:$F$13,B922),Control!$B$11)&lt;Control!$B$13,"BOOST","RACE"))))</x:f>
        <x:v>RACE</x:v>
      </x:c>
      <x:c r="F922" s="83" t="n">
        <x:f>IF(OR(E922="GRID",E922="FINISHED",E922="PIT"),0,MAX(Control!$B$15,(INDEX(Drivers!$D$8:$D$13,B922)+INDEX(Drivers!$E$8:$E$13,B922)*SIN((A922+INDEX(Drivers!$F$8:$F$13,B922)+Control!$B$16)*Control!$B$14))*INDEX(TrackMap!$M$8:$M$141,MOD(INT(D922)-1,Control!$B$7)+1)*IF(E922="BOOST",Control!$B$12,1)))</x:f>
        <x:v>3.406821487453589</x:v>
      </x:c>
      <x:c r="G922" s="83" t="n">
        <x:f>IF(A922=0,D922,MIN(Control!$B$17,D922+F922))</x:f>
        <x:v>520.7537636550801</x:v>
      </x:c>
      <x:c r="H922" s="73" t="n">
        <x:f>MOD(INT(G922)-1,Control!$B$7)+1</x:f>
        <x:v>118</x:v>
      </x:c>
      <x:c r="I922" s="73" t="n">
        <x:f>MIN(Control!$B$6,MAX(1,INT(MAX(0,G922)/Control!$B$7)+1))</x:f>
        <x:v>4</x:v>
      </x:c>
      <x:c r="J922" s="73" t="n">
        <x:f>INDEX(Drivers!$H$8:$H$13,B922)</x:f>
        <x:v>1</x:v>
      </x:c>
      <x:c r="K922" s="73" t="n">
        <x:f>IF(J922=1,INDEX(TrackMap!$I$8:$I$141,H922),INDEX(TrackMap!$L$8:$L$141,H922))</x:f>
        <x:v>3133</x:v>
      </x:c>
      <x:c r="L922" s="73" t="str">
        <x:f>INDEX(TrackMap!$F$8:$F$141,H922)</x:f>
        <x:v>←</x:v>
      </x:c>
      <x:c r="M922" s="87" t="n">
        <x:f>MAX(0,G922/Control!$B$17)</x:f>
        <x:v>0.7772444233657911</x:v>
      </x:c>
      <x:c r="N922" s="73" t="n">
        <x:f>IF(N916&gt;0,N916,IF(G922&gt;=Control!$B$17,A922,0))</x:f>
        <x:v>0</x:v>
      </x:c>
      <x:c r="O922" s="91" t="n">
        <x:f>IF(N922&gt;0,Control!$B$17+Control!$B$8+1-N922,G922)-B922/100000</x:f>
        <x:v>520.75373365508</x:v>
      </x:c>
      <x:c r="P922" s="73" t="n">
        <x:f>COUNTIF($O$920:$O$925,"&gt;"&amp;O922)+1</x:f>
        <x:v>2</x:v>
      </x:c>
      <x:c r="Q922" s="83" t="n">
        <x:f>MAX($G$920:$G$925)-G922</x:f>
        <x:v>0.012796327747992109</x:v>
      </x:c>
      <x:c r="R922" s="73" t="str">
        <x:f>INDEX(TrackMap!$B$8:$B$141,H922)</x:f>
        <x:v>发车大直道</x:v>
      </x:c>
    </x:row>
    <x:row r="923" ht="20" customHeight="1">
      <x:c r="A923" s="73" t="n">
        <x:v>152</x:v>
      </x:c>
      <x:c r="B923" s="73" t="n">
        <x:v>4</x:v>
      </x:c>
      <x:c r="C923" s="73" t="str">
        <x:f>INDEX(Drivers!$B$8:$B$13,B923)</x:f>
        <x:v>紫影</x:v>
      </x:c>
      <x:c r="D923" s="83" t="n">
        <x:f>G917</x:f>
        <x:v>503.9553034559631</x:v>
      </x:c>
      <x:c r="E923" s="83" t="str">
        <x:f>IF(A923=0,"GRID",IF(D923&gt;=Control!$B$17,"FINISHED",IF(AND(A923&gt;=INDEX(Drivers!$G$8:$G$13,B923),A923&lt;INDEX(Drivers!$G$8:$G$13,B923)+INDEX(Drivers!$J$8:$J$13,B923)),"PIT",IF(MOD(A923+INDEX(Drivers!$F$8:$F$13,B923),Control!$B$11)&lt;Control!$B$13,"BOOST","RACE"))))</x:f>
        <x:v>RACE</x:v>
      </x:c>
      <x:c r="F923" s="83" t="n">
        <x:f>IF(OR(E923="GRID",E923="FINISHED",E923="PIT"),0,MAX(Control!$B$15,(INDEX(Drivers!$D$8:$D$13,B923)+INDEX(Drivers!$E$8:$E$13,B923)*SIN((A923+INDEX(Drivers!$F$8:$F$13,B923)+Control!$B$16)*Control!$B$14))*INDEX(TrackMap!$M$8:$M$141,MOD(INT(D923)-1,Control!$B$7)+1)*IF(E923="BOOST",Control!$B$12,1)))</x:f>
        <x:v>2.8418808857062956</x:v>
      </x:c>
      <x:c r="G923" s="83" t="n">
        <x:f>IF(A923=0,D923,MIN(Control!$B$17,D923+F923))</x:f>
        <x:v>506.7971843416694</x:v>
      </x:c>
      <x:c r="H923" s="73" t="n">
        <x:f>MOD(INT(G923)-1,Control!$B$7)+1</x:f>
        <x:v>104</x:v>
      </x:c>
      <x:c r="I923" s="73" t="n">
        <x:f>MIN(Control!$B$6,MAX(1,INT(MAX(0,G923)/Control!$B$7)+1))</x:f>
        <x:v>4</x:v>
      </x:c>
      <x:c r="J923" s="73" t="n">
        <x:f>INDEX(Drivers!$H$8:$H$13,B923)</x:f>
        <x:v>2</x:v>
      </x:c>
      <x:c r="K923" s="73" t="n">
        <x:f>IF(J923=1,INDEX(TrackMap!$I$8:$I$141,H923),INDEX(TrackMap!$L$8:$L$141,H923))</x:f>
        <x:v>3047</x:v>
      </x:c>
      <x:c r="L923" s="73" t="str">
        <x:f>INDEX(TrackMap!$F$8:$F$141,H923)</x:f>
        <x:v>←</x:v>
      </x:c>
      <x:c r="M923" s="87" t="n">
        <x:f>MAX(0,G923/Control!$B$17)</x:f>
        <x:v>0.7564137079726408</x:v>
      </x:c>
      <x:c r="N923" s="73" t="n">
        <x:f>IF(N917&gt;0,N917,IF(G923&gt;=Control!$B$17,A923,0))</x:f>
        <x:v>0</x:v>
      </x:c>
      <x:c r="O923" s="91" t="n">
        <x:f>IF(N923&gt;0,Control!$B$17+Control!$B$8+1-N923,G923)-B923/100000</x:f>
        <x:v>506.79714434166937</x:v>
      </x:c>
      <x:c r="P923" s="73" t="n">
        <x:f>COUNTIF($O$920:$O$925,"&gt;"&amp;O923)+1</x:f>
        <x:v>5</x:v>
      </x:c>
      <x:c r="Q923" s="83" t="n">
        <x:f>MAX($G$920:$G$925)-G923</x:f>
        <x:v>13.969375641158706</x:v>
      </x:c>
      <x:c r="R923" s="73" t="str">
        <x:f>INDEX(TrackMap!$B$8:$B$141,H923)</x:f>
        <x:v>发车大直道</x:v>
      </x:c>
    </x:row>
    <x:row r="924" ht="20" customHeight="1">
      <x:c r="A924" s="73" t="n">
        <x:v>152</x:v>
      </x:c>
      <x:c r="B924" s="73" t="n">
        <x:v>5</x:v>
      </x:c>
      <x:c r="C924" s="73" t="str">
        <x:f>INDEX(Drivers!$B$8:$B$13,B924)</x:f>
        <x:v>青锋</x:v>
      </x:c>
      <x:c r="D924" s="83" t="n">
        <x:f>G918</x:f>
        <x:v>513.0657611203027</x:v>
      </x:c>
      <x:c r="E924" s="83" t="str">
        <x:f>IF(A924=0,"GRID",IF(D924&gt;=Control!$B$17,"FINISHED",IF(AND(A924&gt;=INDEX(Drivers!$G$8:$G$13,B924),A924&lt;INDEX(Drivers!$G$8:$G$13,B924)+INDEX(Drivers!$J$8:$J$13,B924)),"PIT",IF(MOD(A924+INDEX(Drivers!$F$8:$F$13,B924),Control!$B$11)&lt;Control!$B$13,"BOOST","RACE"))))</x:f>
        <x:v>BOOST</x:v>
      </x:c>
      <x:c r="F924" s="83" t="n">
        <x:f>IF(OR(E924="GRID",E924="FINISHED",E924="PIT"),0,MAX(Control!$B$15,(INDEX(Drivers!$D$8:$D$13,B924)+INDEX(Drivers!$E$8:$E$13,B924)*SIN((A924+INDEX(Drivers!$F$8:$F$13,B924)+Control!$B$16)*Control!$B$14))*INDEX(TrackMap!$M$8:$M$141,MOD(INT(D924)-1,Control!$B$7)+1)*IF(E924="BOOST",Control!$B$12,1)))</x:f>
        <x:v>4.948302124668518</x:v>
      </x:c>
      <x:c r="G924" s="83" t="n">
        <x:f>IF(A924=0,D924,MIN(Control!$B$17,D924+F924))</x:f>
        <x:v>518.0140632449712</x:v>
      </x:c>
      <x:c r="H924" s="73" t="n">
        <x:f>MOD(INT(G924)-1,Control!$B$7)+1</x:f>
        <x:v>116</x:v>
      </x:c>
      <x:c r="I924" s="73" t="n">
        <x:f>MIN(Control!$B$6,MAX(1,INT(MAX(0,G924)/Control!$B$7)+1))</x:f>
        <x:v>4</x:v>
      </x:c>
      <x:c r="J924" s="73" t="n">
        <x:f>INDEX(Drivers!$H$8:$H$13,B924)</x:f>
        <x:v>1</x:v>
      </x:c>
      <x:c r="K924" s="73" t="n">
        <x:f>IF(J924=1,INDEX(TrackMap!$I$8:$I$141,H924),INDEX(TrackMap!$L$8:$L$141,H924))</x:f>
        <x:v>3135</x:v>
      </x:c>
      <x:c r="L924" s="73" t="str">
        <x:f>INDEX(TrackMap!$F$8:$F$141,H924)</x:f>
        <x:v>←</x:v>
      </x:c>
      <x:c r="M924" s="87" t="n">
        <x:f>MAX(0,G924/Control!$B$17)</x:f>
        <x:v>0.7731553182760764</x:v>
      </x:c>
      <x:c r="N924" s="73" t="n">
        <x:f>IF(N918&gt;0,N918,IF(G924&gt;=Control!$B$17,A924,0))</x:f>
        <x:v>0</x:v>
      </x:c>
      <x:c r="O924" s="91" t="n">
        <x:f>IF(N924&gt;0,Control!$B$17+Control!$B$8+1-N924,G924)-B924/100000</x:f>
        <x:v>518.0140132449712</x:v>
      </x:c>
      <x:c r="P924" s="73" t="n">
        <x:f>COUNTIF($O$920:$O$925,"&gt;"&amp;O924)+1</x:f>
        <x:v>3</x:v>
      </x:c>
      <x:c r="Q924" s="83" t="n">
        <x:f>MAX($G$920:$G$925)-G924</x:f>
        <x:v>2.752496737856859</x:v>
      </x:c>
      <x:c r="R924" s="73" t="str">
        <x:f>INDEX(TrackMap!$B$8:$B$141,H924)</x:f>
        <x:v>发车大直道</x:v>
      </x:c>
    </x:row>
    <x:row r="925" ht="20" customHeight="1">
      <x:c r="A925" s="73" t="n">
        <x:v>152</x:v>
      </x:c>
      <x:c r="B925" s="73" t="n">
        <x:v>6</x:v>
      </x:c>
      <x:c r="C925" s="73" t="str">
        <x:f>INDEX(Drivers!$B$8:$B$13,B925)</x:f>
        <x:v>玫速</x:v>
      </x:c>
      <x:c r="D925" s="83" t="n">
        <x:f>G919</x:f>
        <x:v>513.3911550718607</x:v>
      </x:c>
      <x:c r="E925" s="83" t="str">
        <x:f>IF(A925=0,"GRID",IF(D925&gt;=Control!$B$17,"FINISHED",IF(AND(A925&gt;=INDEX(Drivers!$G$8:$G$13,B925),A925&lt;INDEX(Drivers!$G$8:$G$13,B925)+INDEX(Drivers!$J$8:$J$13,B925)),"PIT",IF(MOD(A925+INDEX(Drivers!$F$8:$F$13,B925),Control!$B$11)&lt;Control!$B$13,"BOOST","RACE"))))</x:f>
        <x:v>RACE</x:v>
      </x:c>
      <x:c r="F925" s="83" t="n">
        <x:f>IF(OR(E925="GRID",E925="FINISHED",E925="PIT"),0,MAX(Control!$B$15,(INDEX(Drivers!$D$8:$D$13,B925)+INDEX(Drivers!$E$8:$E$13,B925)*SIN((A925+INDEX(Drivers!$F$8:$F$13,B925)+Control!$B$16)*Control!$B$14))*INDEX(TrackMap!$M$8:$M$141,MOD(INT(D925)-1,Control!$B$7)+1)*IF(E925="BOOST",Control!$B$12,1)))</x:f>
        <x:v>3.958899661436652</x:v>
      </x:c>
      <x:c r="G925" s="83" t="n">
        <x:f>IF(A925=0,D925,MIN(Control!$B$17,D925+F925))</x:f>
        <x:v>517.3500547332974</x:v>
      </x:c>
      <x:c r="H925" s="73" t="n">
        <x:f>MOD(INT(G925)-1,Control!$B$7)+1</x:f>
        <x:v>115</x:v>
      </x:c>
      <x:c r="I925" s="73" t="n">
        <x:f>MIN(Control!$B$6,MAX(1,INT(MAX(0,G925)/Control!$B$7)+1))</x:f>
        <x:v>4</x:v>
      </x:c>
      <x:c r="J925" s="73" t="n">
        <x:f>INDEX(Drivers!$H$8:$H$13,B925)</x:f>
        <x:v>2</x:v>
      </x:c>
      <x:c r="K925" s="73" t="n">
        <x:f>IF(J925=1,INDEX(TrackMap!$I$8:$I$141,H925),INDEX(TrackMap!$L$8:$L$141,H925))</x:f>
        <x:v>3036</x:v>
      </x:c>
      <x:c r="L925" s="73" t="str">
        <x:f>INDEX(TrackMap!$F$8:$F$141,H925)</x:f>
        <x:v>←</x:v>
      </x:c>
      <x:c r="M925" s="87" t="n">
        <x:f>MAX(0,G925/Control!$B$17)</x:f>
        <x:v>0.7721642607959662</x:v>
      </x:c>
      <x:c r="N925" s="73" t="n">
        <x:f>IF(N919&gt;0,N919,IF(G925&gt;=Control!$B$17,A925,0))</x:f>
        <x:v>0</x:v>
      </x:c>
      <x:c r="O925" s="91" t="n">
        <x:f>IF(N925&gt;0,Control!$B$17+Control!$B$8+1-N925,G925)-B925/100000</x:f>
        <x:v>517.3499947332974</x:v>
      </x:c>
      <x:c r="P925" s="73" t="n">
        <x:f>COUNTIF($O$920:$O$925,"&gt;"&amp;O925)+1</x:f>
        <x:v>4</x:v>
      </x:c>
      <x:c r="Q925" s="83" t="n">
        <x:f>MAX($G$920:$G$925)-G925</x:f>
        <x:v>3.416505249530701</x:v>
      </x:c>
      <x:c r="R925" s="73" t="str">
        <x:f>INDEX(TrackMap!$B$8:$B$141,H925)</x:f>
        <x:v>发车大直道</x:v>
      </x:c>
    </x:row>
    <x:row r="926" ht="20" customHeight="1">
      <x:c r="A926" s="73" t="n">
        <x:v>153</x:v>
      </x:c>
      <x:c r="B926" s="73" t="n">
        <x:v>1</x:v>
      </x:c>
      <x:c r="C926" s="73" t="str">
        <x:f>INDEX(Drivers!$B$8:$B$13,B926)</x:f>
        <x:v>赤焰</x:v>
      </x:c>
      <x:c r="D926" s="83" t="n">
        <x:f>G920</x:f>
        <x:v>520.7665599828281</x:v>
      </x:c>
      <x:c r="E926" s="83" t="str">
        <x:f>IF(A926=0,"GRID",IF(D926&gt;=Control!$B$17,"FINISHED",IF(AND(A926&gt;=INDEX(Drivers!$G$8:$G$13,B926),A926&lt;INDEX(Drivers!$G$8:$G$13,B926)+INDEX(Drivers!$J$8:$J$13,B926)),"PIT",IF(MOD(A926+INDEX(Drivers!$F$8:$F$13,B926),Control!$B$11)&lt;Control!$B$13,"BOOST","RACE"))))</x:f>
        <x:v>BOOST</x:v>
      </x:c>
      <x:c r="F926" s="83" t="n">
        <x:f>IF(OR(E926="GRID",E926="FINISHED",E926="PIT"),0,MAX(Control!$B$15,(INDEX(Drivers!$D$8:$D$13,B926)+INDEX(Drivers!$E$8:$E$13,B926)*SIN((A926+INDEX(Drivers!$F$8:$F$13,B926)+Control!$B$16)*Control!$B$14))*INDEX(TrackMap!$M$8:$M$141,MOD(INT(D926)-1,Control!$B$7)+1)*IF(E926="BOOST",Control!$B$12,1)))</x:f>
        <x:v>4.286469449693295</x:v>
      </x:c>
      <x:c r="G926" s="83" t="n">
        <x:f>IF(A926=0,D926,MIN(Control!$B$17,D926+F926))</x:f>
        <x:v>525.0530294325214</x:v>
      </x:c>
      <x:c r="H926" s="73" t="n">
        <x:f>MOD(INT(G926)-1,Control!$B$7)+1</x:f>
        <x:v>123</x:v>
      </x:c>
      <x:c r="I926" s="73" t="n">
        <x:f>MIN(Control!$B$6,MAX(1,INT(MAX(0,G926)/Control!$B$7)+1))</x:f>
        <x:v>4</x:v>
      </x:c>
      <x:c r="J926" s="73" t="n">
        <x:f>INDEX(Drivers!$H$8:$H$13,B926)</x:f>
        <x:v>1</x:v>
      </x:c>
      <x:c r="K926" s="73" t="n">
        <x:f>IF(J926=1,INDEX(TrackMap!$I$8:$I$141,H926),INDEX(TrackMap!$L$8:$L$141,H926))</x:f>
        <x:v>3128</x:v>
      </x:c>
      <x:c r="L926" s="73" t="str">
        <x:f>INDEX(TrackMap!$F$8:$F$141,H926)</x:f>
        <x:v>←</x:v>
      </x:c>
      <x:c r="M926" s="87" t="n">
        <x:f>MAX(0,G926/Control!$B$17)</x:f>
        <x:v>0.7836612379589871</x:v>
      </x:c>
      <x:c r="N926" s="73" t="n">
        <x:f>IF(N920&gt;0,N920,IF(G926&gt;=Control!$B$17,A926,0))</x:f>
        <x:v>0</x:v>
      </x:c>
      <x:c r="O926" s="91" t="n">
        <x:f>IF(N926&gt;0,Control!$B$17+Control!$B$8+1-N926,G926)-B926/100000</x:f>
        <x:v>525.0530194325214</x:v>
      </x:c>
      <x:c r="P926" s="73" t="n">
        <x:f>COUNTIF($O$926:$O$931,"&gt;"&amp;O926)+1</x:f>
        <x:v>1</x:v>
      </x:c>
      <x:c r="Q926" s="83" t="n">
        <x:f>MAX($G$926:$G$931)-G926</x:f>
        <x:v>0</x:v>
      </x:c>
      <x:c r="R926" s="73" t="str">
        <x:f>INDEX(TrackMap!$B$8:$B$141,H926)</x:f>
        <x:v>发车大直道</x:v>
      </x:c>
    </x:row>
    <x:row r="927" ht="20" customHeight="1">
      <x:c r="A927" s="73" t="n">
        <x:v>153</x:v>
      </x:c>
      <x:c r="B927" s="73" t="n">
        <x:v>2</x:v>
      </x:c>
      <x:c r="C927" s="73" t="str">
        <x:f>INDEX(Drivers!$B$8:$B$13,B927)</x:f>
        <x:v>蓝电</x:v>
      </x:c>
      <x:c r="D927" s="83" t="n">
        <x:f>G921</x:f>
        <x:v>505.1252994178317</x:v>
      </x:c>
      <x:c r="E927" s="83" t="str">
        <x:f>IF(A927=0,"GRID",IF(D927&gt;=Control!$B$17,"FINISHED",IF(AND(A927&gt;=INDEX(Drivers!$G$8:$G$13,B927),A927&lt;INDEX(Drivers!$G$8:$G$13,B927)+INDEX(Drivers!$J$8:$J$13,B927)),"PIT",IF(MOD(A927+INDEX(Drivers!$F$8:$F$13,B927),Control!$B$11)&lt;Control!$B$13,"BOOST","RACE"))))</x:f>
        <x:v>RACE</x:v>
      </x:c>
      <x:c r="F927" s="83" t="n">
        <x:f>IF(OR(E927="GRID",E927="FINISHED",E927="PIT"),0,MAX(Control!$B$15,(INDEX(Drivers!$D$8:$D$13,B927)+INDEX(Drivers!$E$8:$E$13,B927)*SIN((A927+INDEX(Drivers!$F$8:$F$13,B927)+Control!$B$16)*Control!$B$14))*INDEX(TrackMap!$M$8:$M$141,MOD(INT(D927)-1,Control!$B$7)+1)*IF(E927="BOOST",Control!$B$12,1)))</x:f>
        <x:v>4.1798461080020335</x:v>
      </x:c>
      <x:c r="G927" s="83" t="n">
        <x:f>IF(A927=0,D927,MIN(Control!$B$17,D927+F927))</x:f>
        <x:v>509.3051455258337</x:v>
      </x:c>
      <x:c r="H927" s="73" t="n">
        <x:f>MOD(INT(G927)-1,Control!$B$7)+1</x:f>
        <x:v>107</x:v>
      </x:c>
      <x:c r="I927" s="73" t="n">
        <x:f>MIN(Control!$B$6,MAX(1,INT(MAX(0,G927)/Control!$B$7)+1))</x:f>
        <x:v>4</x:v>
      </x:c>
      <x:c r="J927" s="73" t="n">
        <x:f>INDEX(Drivers!$H$8:$H$13,B927)</x:f>
        <x:v>2</x:v>
      </x:c>
      <x:c r="K927" s="73" t="n">
        <x:f>IF(J927=1,INDEX(TrackMap!$I$8:$I$141,H927),INDEX(TrackMap!$L$8:$L$141,H927))</x:f>
        <x:v>3044</x:v>
      </x:c>
      <x:c r="L927" s="73" t="str">
        <x:f>INDEX(TrackMap!$F$8:$F$141,H927)</x:f>
        <x:v>←</x:v>
      </x:c>
      <x:c r="M927" s="87" t="n">
        <x:f>MAX(0,G927/Control!$B$17)</x:f>
        <x:v>0.7601569336206474</x:v>
      </x:c>
      <x:c r="N927" s="73" t="n">
        <x:f>IF(N921&gt;0,N921,IF(G927&gt;=Control!$B$17,A927,0))</x:f>
        <x:v>0</x:v>
      </x:c>
      <x:c r="O927" s="91" t="n">
        <x:f>IF(N927&gt;0,Control!$B$17+Control!$B$8+1-N927,G927)-B927/100000</x:f>
        <x:v>509.3051255258337</x:v>
      </x:c>
      <x:c r="P927" s="73" t="n">
        <x:f>COUNTIF($O$926:$O$931,"&gt;"&amp;O927)+1</x:f>
        <x:v>6</x:v>
      </x:c>
      <x:c r="Q927" s="83" t="n">
        <x:f>MAX($G$926:$G$931)-G927</x:f>
        <x:v>15.747883906687662</x:v>
      </x:c>
      <x:c r="R927" s="73" t="str">
        <x:f>INDEX(TrackMap!$B$8:$B$141,H927)</x:f>
        <x:v>发车大直道</x:v>
      </x:c>
    </x:row>
    <x:row r="928" ht="20" customHeight="1">
      <x:c r="A928" s="73" t="n">
        <x:v>153</x:v>
      </x:c>
      <x:c r="B928" s="73" t="n">
        <x:v>3</x:v>
      </x:c>
      <x:c r="C928" s="73" t="str">
        <x:f>INDEX(Drivers!$B$8:$B$13,B928)</x:f>
        <x:v>金翼</x:v>
      </x:c>
      <x:c r="D928" s="83" t="n">
        <x:f>G922</x:f>
        <x:v>520.7537636550801</x:v>
      </x:c>
      <x:c r="E928" s="83" t="str">
        <x:f>IF(A928=0,"GRID",IF(D928&gt;=Control!$B$17,"FINISHED",IF(AND(A928&gt;=INDEX(Drivers!$G$8:$G$13,B928),A928&lt;INDEX(Drivers!$G$8:$G$13,B928)+INDEX(Drivers!$J$8:$J$13,B928)),"PIT",IF(MOD(A928+INDEX(Drivers!$F$8:$F$13,B928),Control!$B$11)&lt;Control!$B$13,"BOOST","RACE"))))</x:f>
        <x:v>RACE</x:v>
      </x:c>
      <x:c r="F928" s="83" t="n">
        <x:f>IF(OR(E928="GRID",E928="FINISHED",E928="PIT"),0,MAX(Control!$B$15,(INDEX(Drivers!$D$8:$D$13,B928)+INDEX(Drivers!$E$8:$E$13,B928)*SIN((A928+INDEX(Drivers!$F$8:$F$13,B928)+Control!$B$16)*Control!$B$14))*INDEX(TrackMap!$M$8:$M$141,MOD(INT(D928)-1,Control!$B$7)+1)*IF(E928="BOOST",Control!$B$12,1)))</x:f>
        <x:v>3.2801978701383585</x:v>
      </x:c>
      <x:c r="G928" s="83" t="n">
        <x:f>IF(A928=0,D928,MIN(Control!$B$17,D928+F928))</x:f>
        <x:v>524.0339615252185</x:v>
      </x:c>
      <x:c r="H928" s="73" t="n">
        <x:f>MOD(INT(G928)-1,Control!$B$7)+1</x:f>
        <x:v>122</x:v>
      </x:c>
      <x:c r="I928" s="73" t="n">
        <x:f>MIN(Control!$B$6,MAX(1,INT(MAX(0,G928)/Control!$B$7)+1))</x:f>
        <x:v>4</x:v>
      </x:c>
      <x:c r="J928" s="73" t="n">
        <x:f>INDEX(Drivers!$H$8:$H$13,B928)</x:f>
        <x:v>1</x:v>
      </x:c>
      <x:c r="K928" s="73" t="n">
        <x:f>IF(J928=1,INDEX(TrackMap!$I$8:$I$141,H928),INDEX(TrackMap!$L$8:$L$141,H928))</x:f>
        <x:v>3129</x:v>
      </x:c>
      <x:c r="L928" s="73" t="str">
        <x:f>INDEX(TrackMap!$F$8:$F$141,H928)</x:f>
        <x:v>←</x:v>
      </x:c>
      <x:c r="M928" s="87" t="n">
        <x:f>MAX(0,G928/Control!$B$17)</x:f>
        <x:v>0.7821402410824156</x:v>
      </x:c>
      <x:c r="N928" s="73" t="n">
        <x:f>IF(N922&gt;0,N922,IF(G928&gt;=Control!$B$17,A928,0))</x:f>
        <x:v>0</x:v>
      </x:c>
      <x:c r="O928" s="91" t="n">
        <x:f>IF(N928&gt;0,Control!$B$17+Control!$B$8+1-N928,G928)-B928/100000</x:f>
        <x:v>524.0339315252185</x:v>
      </x:c>
      <x:c r="P928" s="73" t="n">
        <x:f>COUNTIF($O$926:$O$931,"&gt;"&amp;O928)+1</x:f>
        <x:v>2</x:v>
      </x:c>
      <x:c r="Q928" s="83" t="n">
        <x:f>MAX($G$926:$G$931)-G928</x:f>
        <x:v>1.0190679073028832</x:v>
      </x:c>
      <x:c r="R928" s="73" t="str">
        <x:f>INDEX(TrackMap!$B$8:$B$141,H928)</x:f>
        <x:v>发车大直道</x:v>
      </x:c>
    </x:row>
    <x:row r="929" ht="20" customHeight="1">
      <x:c r="A929" s="73" t="n">
        <x:v>153</x:v>
      </x:c>
      <x:c r="B929" s="73" t="n">
        <x:v>4</x:v>
      </x:c>
      <x:c r="C929" s="73" t="str">
        <x:f>INDEX(Drivers!$B$8:$B$13,B929)</x:f>
        <x:v>紫影</x:v>
      </x:c>
      <x:c r="D929" s="83" t="n">
        <x:f>G923</x:f>
        <x:v>506.7971843416694</x:v>
      </x:c>
      <x:c r="E929" s="83" t="str">
        <x:f>IF(A929=0,"GRID",IF(D929&gt;=Control!$B$17,"FINISHED",IF(AND(A929&gt;=INDEX(Drivers!$G$8:$G$13,B929),A929&lt;INDEX(Drivers!$G$8:$G$13,B929)+INDEX(Drivers!$J$8:$J$13,B929)),"PIT",IF(MOD(A929+INDEX(Drivers!$F$8:$F$13,B929),Control!$B$11)&lt;Control!$B$13,"BOOST","RACE"))))</x:f>
        <x:v>RACE</x:v>
      </x:c>
      <x:c r="F929" s="83" t="n">
        <x:f>IF(OR(E929="GRID",E929="FINISHED",E929="PIT"),0,MAX(Control!$B$15,(INDEX(Drivers!$D$8:$D$13,B929)+INDEX(Drivers!$E$8:$E$13,B929)*SIN((A929+INDEX(Drivers!$F$8:$F$13,B929)+Control!$B$16)*Control!$B$14))*INDEX(TrackMap!$M$8:$M$141,MOD(INT(D929)-1,Control!$B$7)+1)*IF(E929="BOOST",Control!$B$12,1)))</x:f>
        <x:v>3.849645478452571</x:v>
      </x:c>
      <x:c r="G929" s="83" t="n">
        <x:f>IF(A929=0,D929,MIN(Control!$B$17,D929+F929))</x:f>
        <x:v>510.6468298201219</x:v>
      </x:c>
      <x:c r="H929" s="73" t="n">
        <x:f>MOD(INT(G929)-1,Control!$B$7)+1</x:f>
        <x:v>108</x:v>
      </x:c>
      <x:c r="I929" s="73" t="n">
        <x:f>MIN(Control!$B$6,MAX(1,INT(MAX(0,G929)/Control!$B$7)+1))</x:f>
        <x:v>4</x:v>
      </x:c>
      <x:c r="J929" s="73" t="n">
        <x:f>INDEX(Drivers!$H$8:$H$13,B929)</x:f>
        <x:v>2</x:v>
      </x:c>
      <x:c r="K929" s="73" t="n">
        <x:f>IF(J929=1,INDEX(TrackMap!$I$8:$I$141,H929),INDEX(TrackMap!$L$8:$L$141,H929))</x:f>
        <x:v>3043</x:v>
      </x:c>
      <x:c r="L929" s="73" t="str">
        <x:f>INDEX(TrackMap!$F$8:$F$141,H929)</x:f>
        <x:v>←</x:v>
      </x:c>
      <x:c r="M929" s="87" t="n">
        <x:f>MAX(0,G929/Control!$B$17)</x:f>
        <x:v>0.7621594474927192</x:v>
      </x:c>
      <x:c r="N929" s="73" t="n">
        <x:f>IF(N923&gt;0,N923,IF(G929&gt;=Control!$B$17,A929,0))</x:f>
        <x:v>0</x:v>
      </x:c>
      <x:c r="O929" s="91" t="n">
        <x:f>IF(N929&gt;0,Control!$B$17+Control!$B$8+1-N929,G929)-B929/100000</x:f>
        <x:v>510.6467898201219</x:v>
      </x:c>
      <x:c r="P929" s="73" t="n">
        <x:f>COUNTIF($O$926:$O$931,"&gt;"&amp;O929)+1</x:f>
        <x:v>5</x:v>
      </x:c>
      <x:c r="Q929" s="83" t="n">
        <x:f>MAX($G$926:$G$931)-G929</x:f>
        <x:v>14.406199612399462</x:v>
      </x:c>
      <x:c r="R929" s="73" t="str">
        <x:f>INDEX(TrackMap!$B$8:$B$141,H929)</x:f>
        <x:v>发车大直道</x:v>
      </x:c>
    </x:row>
    <x:row r="930" ht="20" customHeight="1">
      <x:c r="A930" s="73" t="n">
        <x:v>153</x:v>
      </x:c>
      <x:c r="B930" s="73" t="n">
        <x:v>5</x:v>
      </x:c>
      <x:c r="C930" s="73" t="str">
        <x:f>INDEX(Drivers!$B$8:$B$13,B930)</x:f>
        <x:v>青锋</x:v>
      </x:c>
      <x:c r="D930" s="83" t="n">
        <x:f>G924</x:f>
        <x:v>518.0140632449712</x:v>
      </x:c>
      <x:c r="E930" s="83" t="str">
        <x:f>IF(A930=0,"GRID",IF(D930&gt;=Control!$B$17,"FINISHED",IF(AND(A930&gt;=INDEX(Drivers!$G$8:$G$13,B930),A930&lt;INDEX(Drivers!$G$8:$G$13,B930)+INDEX(Drivers!$J$8:$J$13,B930)),"PIT",IF(MOD(A930+INDEX(Drivers!$F$8:$F$13,B930),Control!$B$11)&lt;Control!$B$13,"BOOST","RACE"))))</x:f>
        <x:v>RACE</x:v>
      </x:c>
      <x:c r="F930" s="83" t="n">
        <x:f>IF(OR(E930="GRID",E930="FINISHED",E930="PIT"),0,MAX(Control!$B$15,(INDEX(Drivers!$D$8:$D$13,B930)+INDEX(Drivers!$E$8:$E$13,B930)*SIN((A930+INDEX(Drivers!$F$8:$F$13,B930)+Control!$B$16)*Control!$B$14))*INDEX(TrackMap!$M$8:$M$141,MOD(INT(D930)-1,Control!$B$7)+1)*IF(E930="BOOST",Control!$B$12,1)))</x:f>
        <x:v>3.8506163257609454</x:v>
      </x:c>
      <x:c r="G930" s="83" t="n">
        <x:f>IF(A930=0,D930,MIN(Control!$B$17,D930+F930))</x:f>
        <x:v>521.8646795707322</x:v>
      </x:c>
      <x:c r="H930" s="73" t="n">
        <x:f>MOD(INT(G930)-1,Control!$B$7)+1</x:f>
        <x:v>119</x:v>
      </x:c>
      <x:c r="I930" s="73" t="n">
        <x:f>MIN(Control!$B$6,MAX(1,INT(MAX(0,G930)/Control!$B$7)+1))</x:f>
        <x:v>4</x:v>
      </x:c>
      <x:c r="J930" s="73" t="n">
        <x:f>INDEX(Drivers!$H$8:$H$13,B930)</x:f>
        <x:v>1</x:v>
      </x:c>
      <x:c r="K930" s="73" t="n">
        <x:f>IF(J930=1,INDEX(TrackMap!$I$8:$I$141,H930),INDEX(TrackMap!$L$8:$L$141,H930))</x:f>
        <x:v>3132</x:v>
      </x:c>
      <x:c r="L930" s="73" t="str">
        <x:f>INDEX(TrackMap!$F$8:$F$141,H930)</x:f>
        <x:v>←</x:v>
      </x:c>
      <x:c r="M930" s="87" t="n">
        <x:f>MAX(0,G930/Control!$B$17)</x:f>
        <x:v>0.7789025068219882</x:v>
      </x:c>
      <x:c r="N930" s="73" t="n">
        <x:f>IF(N924&gt;0,N924,IF(G930&gt;=Control!$B$17,A930,0))</x:f>
        <x:v>0</x:v>
      </x:c>
      <x:c r="O930" s="91" t="n">
        <x:f>IF(N930&gt;0,Control!$B$17+Control!$B$8+1-N930,G930)-B930/100000</x:f>
        <x:v>521.8646295707322</x:v>
      </x:c>
      <x:c r="P930" s="73" t="n">
        <x:f>COUNTIF($O$926:$O$931,"&gt;"&amp;O930)+1</x:f>
        <x:v>3</x:v>
      </x:c>
      <x:c r="Q930" s="83" t="n">
        <x:f>MAX($G$926:$G$931)-G930</x:f>
        <x:v>3.18834986178922</x:v>
      </x:c>
      <x:c r="R930" s="73" t="str">
        <x:f>INDEX(TrackMap!$B$8:$B$141,H930)</x:f>
        <x:v>发车大直道</x:v>
      </x:c>
    </x:row>
    <x:row r="931" ht="20" customHeight="1">
      <x:c r="A931" s="73" t="n">
        <x:v>153</x:v>
      </x:c>
      <x:c r="B931" s="73" t="n">
        <x:v>6</x:v>
      </x:c>
      <x:c r="C931" s="73" t="str">
        <x:f>INDEX(Drivers!$B$8:$B$13,B931)</x:f>
        <x:v>玫速</x:v>
      </x:c>
      <x:c r="D931" s="83" t="n">
        <x:f>G925</x:f>
        <x:v>517.3500547332974</x:v>
      </x:c>
      <x:c r="E931" s="83" t="str">
        <x:f>IF(A931=0,"GRID",IF(D931&gt;=Control!$B$17,"FINISHED",IF(AND(A931&gt;=INDEX(Drivers!$G$8:$G$13,B931),A931&lt;INDEX(Drivers!$G$8:$G$13,B931)+INDEX(Drivers!$J$8:$J$13,B931)),"PIT",IF(MOD(A931+INDEX(Drivers!$F$8:$F$13,B931),Control!$B$11)&lt;Control!$B$13,"BOOST","RACE"))))</x:f>
        <x:v>RACE</x:v>
      </x:c>
      <x:c r="F931" s="83" t="n">
        <x:f>IF(OR(E931="GRID",E931="FINISHED",E931="PIT"),0,MAX(Control!$B$15,(INDEX(Drivers!$D$8:$D$13,B931)+INDEX(Drivers!$E$8:$E$13,B931)*SIN((A931+INDEX(Drivers!$F$8:$F$13,B931)+Control!$B$16)*Control!$B$14))*INDEX(TrackMap!$M$8:$M$141,MOD(INT(D931)-1,Control!$B$7)+1)*IF(E931="BOOST",Control!$B$12,1)))</x:f>
        <x:v>3.747921525271577</x:v>
      </x:c>
      <x:c r="G931" s="83" t="n">
        <x:f>IF(A931=0,D931,MIN(Control!$B$17,D931+F931))</x:f>
        <x:v>521.0979762585689</x:v>
      </x:c>
      <x:c r="H931" s="73" t="n">
        <x:f>MOD(INT(G931)-1,Control!$B$7)+1</x:f>
        <x:v>119</x:v>
      </x:c>
      <x:c r="I931" s="73" t="n">
        <x:f>MIN(Control!$B$6,MAX(1,INT(MAX(0,G931)/Control!$B$7)+1))</x:f>
        <x:v>4</x:v>
      </x:c>
      <x:c r="J931" s="73" t="n">
        <x:f>INDEX(Drivers!$H$8:$H$13,B931)</x:f>
        <x:v>2</x:v>
      </x:c>
      <x:c r="K931" s="73" t="n">
        <x:f>IF(J931=1,INDEX(TrackMap!$I$8:$I$141,H931),INDEX(TrackMap!$L$8:$L$141,H931))</x:f>
        <x:v>3032</x:v>
      </x:c>
      <x:c r="L931" s="73" t="str">
        <x:f>INDEX(TrackMap!$F$8:$F$141,H931)</x:f>
        <x:v>←</x:v>
      </x:c>
      <x:c r="M931" s="87" t="n">
        <x:f>MAX(0,G931/Control!$B$17)</x:f>
        <x:v>0.7777581735202521</x:v>
      </x:c>
      <x:c r="N931" s="73" t="n">
        <x:f>IF(N925&gt;0,N925,IF(G931&gt;=Control!$B$17,A931,0))</x:f>
        <x:v>0</x:v>
      </x:c>
      <x:c r="O931" s="91" t="n">
        <x:f>IF(N931&gt;0,Control!$B$17+Control!$B$8+1-N931,G931)-B931/100000</x:f>
        <x:v>521.097916258569</x:v>
      </x:c>
      <x:c r="P931" s="73" t="n">
        <x:f>COUNTIF($O$926:$O$931,"&gt;"&amp;O931)+1</x:f>
        <x:v>4</x:v>
      </x:c>
      <x:c r="Q931" s="83" t="n">
        <x:f>MAX($G$926:$G$931)-G931</x:f>
        <x:v>3.9550531739524786</x:v>
      </x:c>
      <x:c r="R931" s="73" t="str">
        <x:f>INDEX(TrackMap!$B$8:$B$141,H931)</x:f>
        <x:v>发车大直道</x:v>
      </x:c>
    </x:row>
    <x:row r="932" ht="20" customHeight="1">
      <x:c r="A932" s="73" t="n">
        <x:v>154</x:v>
      </x:c>
      <x:c r="B932" s="73" t="n">
        <x:v>1</x:v>
      </x:c>
      <x:c r="C932" s="73" t="str">
        <x:f>INDEX(Drivers!$B$8:$B$13,B932)</x:f>
        <x:v>赤焰</x:v>
      </x:c>
      <x:c r="D932" s="83" t="n">
        <x:f>G926</x:f>
        <x:v>525.0530294325214</x:v>
      </x:c>
      <x:c r="E932" s="83" t="str">
        <x:f>IF(A932=0,"GRID",IF(D932&gt;=Control!$B$17,"FINISHED",IF(AND(A932&gt;=INDEX(Drivers!$G$8:$G$13,B932),A932&lt;INDEX(Drivers!$G$8:$G$13,B932)+INDEX(Drivers!$J$8:$J$13,B932)),"PIT",IF(MOD(A932+INDEX(Drivers!$F$8:$F$13,B932),Control!$B$11)&lt;Control!$B$13,"BOOST","RACE"))))</x:f>
        <x:v>BOOST</x:v>
      </x:c>
      <x:c r="F932" s="83" t="n">
        <x:f>IF(OR(E932="GRID",E932="FINISHED",E932="PIT"),0,MAX(Control!$B$15,(INDEX(Drivers!$D$8:$D$13,B932)+INDEX(Drivers!$E$8:$E$13,B932)*SIN((A932+INDEX(Drivers!$F$8:$F$13,B932)+Control!$B$16)*Control!$B$14))*INDEX(TrackMap!$M$8:$M$141,MOD(INT(D932)-1,Control!$B$7)+1)*IF(E932="BOOST",Control!$B$12,1)))</x:f>
        <x:v>4.4653402321086455</x:v>
      </x:c>
      <x:c r="G932" s="83" t="n">
        <x:f>IF(A932=0,D932,MIN(Control!$B$17,D932+F932))</x:f>
        <x:v>529.5183696646301</x:v>
      </x:c>
      <x:c r="H932" s="73" t="n">
        <x:f>MOD(INT(G932)-1,Control!$B$7)+1</x:f>
        <x:v>127</x:v>
      </x:c>
      <x:c r="I932" s="73" t="n">
        <x:f>MIN(Control!$B$6,MAX(1,INT(MAX(0,G932)/Control!$B$7)+1))</x:f>
        <x:v>4</x:v>
      </x:c>
      <x:c r="J932" s="73" t="n">
        <x:f>INDEX(Drivers!$H$8:$H$13,B932)</x:f>
        <x:v>1</x:v>
      </x:c>
      <x:c r="K932" s="73" t="n">
        <x:f>IF(J932=1,INDEX(TrackMap!$I$8:$I$141,H932),INDEX(TrackMap!$L$8:$L$141,H932))</x:f>
        <x:v>3124</x:v>
      </x:c>
      <x:c r="L932" s="73" t="str">
        <x:f>INDEX(TrackMap!$F$8:$F$141,H932)</x:f>
        <x:v>←</x:v>
      </x:c>
      <x:c r="M932" s="87" t="n">
        <x:f>MAX(0,G932/Control!$B$17)</x:f>
        <x:v>0.7903259248725822</x:v>
      </x:c>
      <x:c r="N932" s="73" t="n">
        <x:f>IF(N926&gt;0,N926,IF(G932&gt;=Control!$B$17,A932,0))</x:f>
        <x:v>0</x:v>
      </x:c>
      <x:c r="O932" s="91" t="n">
        <x:f>IF(N932&gt;0,Control!$B$17+Control!$B$8+1-N932,G932)-B932/100000</x:f>
        <x:v>529.5183596646301</x:v>
      </x:c>
      <x:c r="P932" s="73" t="n">
        <x:f>COUNTIF($O$932:$O$937,"&gt;"&amp;O932)+1</x:f>
        <x:v>1</x:v>
      </x:c>
      <x:c r="Q932" s="83" t="n">
        <x:f>MAX($G$932:$G$937)-G932</x:f>
        <x:v>0</x:v>
      </x:c>
      <x:c r="R932" s="73" t="str">
        <x:f>INDEX(TrackMap!$B$8:$B$141,H932)</x:f>
        <x:v>发车大直道</x:v>
      </x:c>
    </x:row>
    <x:row r="933" ht="20" customHeight="1">
      <x:c r="A933" s="73" t="n">
        <x:v>154</x:v>
      </x:c>
      <x:c r="B933" s="73" t="n">
        <x:v>2</x:v>
      </x:c>
      <x:c r="C933" s="73" t="str">
        <x:f>INDEX(Drivers!$B$8:$B$13,B933)</x:f>
        <x:v>蓝电</x:v>
      </x:c>
      <x:c r="D933" s="83" t="n">
        <x:f>G927</x:f>
        <x:v>509.3051455258337</x:v>
      </x:c>
      <x:c r="E933" s="83" t="str">
        <x:f>IF(A933=0,"GRID",IF(D933&gt;=Control!$B$17,"FINISHED",IF(AND(A933&gt;=INDEX(Drivers!$G$8:$G$13,B933),A933&lt;INDEX(Drivers!$G$8:$G$13,B933)+INDEX(Drivers!$J$8:$J$13,B933)),"PIT",IF(MOD(A933+INDEX(Drivers!$F$8:$F$13,B933),Control!$B$11)&lt;Control!$B$13,"BOOST","RACE"))))</x:f>
        <x:v>RACE</x:v>
      </x:c>
      <x:c r="F933" s="83" t="n">
        <x:f>IF(OR(E933="GRID",E933="FINISHED",E933="PIT"),0,MAX(Control!$B$15,(INDEX(Drivers!$D$8:$D$13,B933)+INDEX(Drivers!$E$8:$E$13,B933)*SIN((A933+INDEX(Drivers!$F$8:$F$13,B933)+Control!$B$16)*Control!$B$14))*INDEX(TrackMap!$M$8:$M$141,MOD(INT(D933)-1,Control!$B$7)+1)*IF(E933="BOOST",Control!$B$12,1)))</x:f>
        <x:v>4.144166732727309</x:v>
      </x:c>
      <x:c r="G933" s="83" t="n">
        <x:f>IF(A933=0,D933,MIN(Control!$B$17,D933+F933))</x:f>
        <x:v>513.449312258561</x:v>
      </x:c>
      <x:c r="H933" s="73" t="n">
        <x:f>MOD(INT(G933)-1,Control!$B$7)+1</x:f>
        <x:v>111</x:v>
      </x:c>
      <x:c r="I933" s="73" t="n">
        <x:f>MIN(Control!$B$6,MAX(1,INT(MAX(0,G933)/Control!$B$7)+1))</x:f>
        <x:v>4</x:v>
      </x:c>
      <x:c r="J933" s="73" t="n">
        <x:f>INDEX(Drivers!$H$8:$H$13,B933)</x:f>
        <x:v>2</x:v>
      </x:c>
      <x:c r="K933" s="73" t="n">
        <x:f>IF(J933=1,INDEX(TrackMap!$I$8:$I$141,H933),INDEX(TrackMap!$L$8:$L$141,H933))</x:f>
        <x:v>3040</x:v>
      </x:c>
      <x:c r="L933" s="73" t="str">
        <x:f>INDEX(TrackMap!$F$8:$F$141,H933)</x:f>
        <x:v>←</x:v>
      </x:c>
      <x:c r="M933" s="87" t="n">
        <x:f>MAX(0,G933/Control!$B$17)</x:f>
        <x:v>0.7663422571023298</x:v>
      </x:c>
      <x:c r="N933" s="73" t="n">
        <x:f>IF(N927&gt;0,N927,IF(G933&gt;=Control!$B$17,A933,0))</x:f>
        <x:v>0</x:v>
      </x:c>
      <x:c r="O933" s="91" t="n">
        <x:f>IF(N933&gt;0,Control!$B$17+Control!$B$8+1-N933,G933)-B933/100000</x:f>
        <x:v>513.4492922585611</x:v>
      </x:c>
      <x:c r="P933" s="73" t="n">
        <x:f>COUNTIF($O$932:$O$937,"&gt;"&amp;O933)+1</x:f>
        <x:v>6</x:v>
      </x:c>
      <x:c r="Q933" s="83" t="n">
        <x:f>MAX($G$932:$G$937)-G933</x:f>
        <x:v>16.069057406069078</x:v>
      </x:c>
      <x:c r="R933" s="73" t="str">
        <x:f>INDEX(TrackMap!$B$8:$B$141,H933)</x:f>
        <x:v>发车大直道</x:v>
      </x:c>
    </x:row>
    <x:row r="934" ht="20" customHeight="1">
      <x:c r="A934" s="73" t="n">
        <x:v>154</x:v>
      </x:c>
      <x:c r="B934" s="73" t="n">
        <x:v>3</x:v>
      </x:c>
      <x:c r="C934" s="73" t="str">
        <x:f>INDEX(Drivers!$B$8:$B$13,B934)</x:f>
        <x:v>金翼</x:v>
      </x:c>
      <x:c r="D934" s="83" t="n">
        <x:f>G928</x:f>
        <x:v>524.0339615252185</x:v>
      </x:c>
      <x:c r="E934" s="83" t="str">
        <x:f>IF(A934=0,"GRID",IF(D934&gt;=Control!$B$17,"FINISHED",IF(AND(A934&gt;=INDEX(Drivers!$G$8:$G$13,B934),A934&lt;INDEX(Drivers!$G$8:$G$13,B934)+INDEX(Drivers!$J$8:$J$13,B934)),"PIT",IF(MOD(A934+INDEX(Drivers!$F$8:$F$13,B934),Control!$B$11)&lt;Control!$B$13,"BOOST","RACE"))))</x:f>
        <x:v>RACE</x:v>
      </x:c>
      <x:c r="F934" s="83" t="n">
        <x:f>IF(OR(E934="GRID",E934="FINISHED",E934="PIT"),0,MAX(Control!$B$15,(INDEX(Drivers!$D$8:$D$13,B934)+INDEX(Drivers!$E$8:$E$13,B934)*SIN((A934+INDEX(Drivers!$F$8:$F$13,B934)+Control!$B$16)*Control!$B$14))*INDEX(TrackMap!$M$8:$M$141,MOD(INT(D934)-1,Control!$B$7)+1)*IF(E934="BOOST",Control!$B$12,1)))</x:f>
        <x:v>3.210392501719084</x:v>
      </x:c>
      <x:c r="G934" s="83" t="n">
        <x:f>IF(A934=0,D934,MIN(Control!$B$17,D934+F934))</x:f>
        <x:v>527.2443540269376</x:v>
      </x:c>
      <x:c r="H934" s="73" t="n">
        <x:f>MOD(INT(G934)-1,Control!$B$7)+1</x:f>
        <x:v>125</x:v>
      </x:c>
      <x:c r="I934" s="73" t="n">
        <x:f>MIN(Control!$B$6,MAX(1,INT(MAX(0,G934)/Control!$B$7)+1))</x:f>
        <x:v>4</x:v>
      </x:c>
      <x:c r="J934" s="73" t="n">
        <x:f>INDEX(Drivers!$H$8:$H$13,B934)</x:f>
        <x:v>1</x:v>
      </x:c>
      <x:c r="K934" s="73" t="n">
        <x:f>IF(J934=1,INDEX(TrackMap!$I$8:$I$141,H934),INDEX(TrackMap!$L$8:$L$141,H934))</x:f>
        <x:v>3126</x:v>
      </x:c>
      <x:c r="L934" s="73" t="str">
        <x:f>INDEX(TrackMap!$F$8:$F$141,H934)</x:f>
        <x:v>←</x:v>
      </x:c>
      <x:c r="M934" s="87" t="n">
        <x:f>MAX(0,G934/Control!$B$17)</x:f>
        <x:v>0.7869318716819964</x:v>
      </x:c>
      <x:c r="N934" s="73" t="n">
        <x:f>IF(N928&gt;0,N928,IF(G934&gt;=Control!$B$17,A934,0))</x:f>
        <x:v>0</x:v>
      </x:c>
      <x:c r="O934" s="91" t="n">
        <x:f>IF(N934&gt;0,Control!$B$17+Control!$B$8+1-N934,G934)-B934/100000</x:f>
        <x:v>527.2443240269375</x:v>
      </x:c>
      <x:c r="P934" s="73" t="n">
        <x:f>COUNTIF($O$932:$O$937,"&gt;"&amp;O934)+1</x:f>
        <x:v>2</x:v>
      </x:c>
      <x:c r="Q934" s="83" t="n">
        <x:f>MAX($G$932:$G$937)-G934</x:f>
        <x:v>2.2740156376925142</x:v>
      </x:c>
      <x:c r="R934" s="73" t="str">
        <x:f>INDEX(TrackMap!$B$8:$B$141,H934)</x:f>
        <x:v>发车大直道</x:v>
      </x:c>
    </x:row>
    <x:row r="935" ht="20" customHeight="1">
      <x:c r="A935" s="73" t="n">
        <x:v>154</x:v>
      </x:c>
      <x:c r="B935" s="73" t="n">
        <x:v>4</x:v>
      </x:c>
      <x:c r="C935" s="73" t="str">
        <x:f>INDEX(Drivers!$B$8:$B$13,B935)</x:f>
        <x:v>紫影</x:v>
      </x:c>
      <x:c r="D935" s="83" t="n">
        <x:f>G929</x:f>
        <x:v>510.6468298201219</x:v>
      </x:c>
      <x:c r="E935" s="83" t="str">
        <x:f>IF(A935=0,"GRID",IF(D935&gt;=Control!$B$17,"FINISHED",IF(AND(A935&gt;=INDEX(Drivers!$G$8:$G$13,B935),A935&lt;INDEX(Drivers!$G$8:$G$13,B935)+INDEX(Drivers!$J$8:$J$13,B935)),"PIT",IF(MOD(A935+INDEX(Drivers!$F$8:$F$13,B935),Control!$B$11)&lt;Control!$B$13,"BOOST","RACE"))))</x:f>
        <x:v>RACE</x:v>
      </x:c>
      <x:c r="F935" s="83" t="n">
        <x:f>IF(OR(E935="GRID",E935="FINISHED",E935="PIT"),0,MAX(Control!$B$15,(INDEX(Drivers!$D$8:$D$13,B935)+INDEX(Drivers!$E$8:$E$13,B935)*SIN((A935+INDEX(Drivers!$F$8:$F$13,B935)+Control!$B$16)*Control!$B$14))*INDEX(TrackMap!$M$8:$M$141,MOD(INT(D935)-1,Control!$B$7)+1)*IF(E935="BOOST",Control!$B$12,1)))</x:f>
        <x:v>4.022065579579673</x:v>
      </x:c>
      <x:c r="G935" s="83" t="n">
        <x:f>IF(A935=0,D935,MIN(Control!$B$17,D935+F935))</x:f>
        <x:v>514.6688953997016</x:v>
      </x:c>
      <x:c r="H935" s="73" t="n">
        <x:f>MOD(INT(G935)-1,Control!$B$7)+1</x:f>
        <x:v>112</x:v>
      </x:c>
      <x:c r="I935" s="73" t="n">
        <x:f>MIN(Control!$B$6,MAX(1,INT(MAX(0,G935)/Control!$B$7)+1))</x:f>
        <x:v>4</x:v>
      </x:c>
      <x:c r="J935" s="73" t="n">
        <x:f>INDEX(Drivers!$H$8:$H$13,B935)</x:f>
        <x:v>2</x:v>
      </x:c>
      <x:c r="K935" s="73" t="n">
        <x:f>IF(J935=1,INDEX(TrackMap!$I$8:$I$141,H935),INDEX(TrackMap!$L$8:$L$141,H935))</x:f>
        <x:v>3039</x:v>
      </x:c>
      <x:c r="L935" s="73" t="str">
        <x:f>INDEX(TrackMap!$F$8:$F$141,H935)</x:f>
        <x:v>←</x:v>
      </x:c>
      <x:c r="M935" s="87" t="n">
        <x:f>MAX(0,G935/Control!$B$17)</x:f>
        <x:v>0.7681625304473158</x:v>
      </x:c>
      <x:c r="N935" s="73" t="n">
        <x:f>IF(N929&gt;0,N929,IF(G935&gt;=Control!$B$17,A935,0))</x:f>
        <x:v>0</x:v>
      </x:c>
      <x:c r="O935" s="91" t="n">
        <x:f>IF(N935&gt;0,Control!$B$17+Control!$B$8+1-N935,G935)-B935/100000</x:f>
        <x:v>514.6688553997016</x:v>
      </x:c>
      <x:c r="P935" s="73" t="n">
        <x:f>COUNTIF($O$932:$O$937,"&gt;"&amp;O935)+1</x:f>
        <x:v>5</x:v>
      </x:c>
      <x:c r="Q935" s="83" t="n">
        <x:f>MAX($G$932:$G$937)-G935</x:f>
        <x:v>14.849474264928517</x:v>
      </x:c>
      <x:c r="R935" s="73" t="str">
        <x:f>INDEX(TrackMap!$B$8:$B$141,H935)</x:f>
        <x:v>发车大直道</x:v>
      </x:c>
    </x:row>
    <x:row r="936" ht="20" customHeight="1">
      <x:c r="A936" s="73" t="n">
        <x:v>154</x:v>
      </x:c>
      <x:c r="B936" s="73" t="n">
        <x:v>5</x:v>
      </x:c>
      <x:c r="C936" s="73" t="str">
        <x:f>INDEX(Drivers!$B$8:$B$13,B936)</x:f>
        <x:v>青锋</x:v>
      </x:c>
      <x:c r="D936" s="83" t="n">
        <x:f>G930</x:f>
        <x:v>521.8646795707322</x:v>
      </x:c>
      <x:c r="E936" s="83" t="str">
        <x:f>IF(A936=0,"GRID",IF(D936&gt;=Control!$B$17,"FINISHED",IF(AND(A936&gt;=INDEX(Drivers!$G$8:$G$13,B936),A936&lt;INDEX(Drivers!$G$8:$G$13,B936)+INDEX(Drivers!$J$8:$J$13,B936)),"PIT",IF(MOD(A936+INDEX(Drivers!$F$8:$F$13,B936),Control!$B$11)&lt;Control!$B$13,"BOOST","RACE"))))</x:f>
        <x:v>RACE</x:v>
      </x:c>
      <x:c r="F936" s="83" t="n">
        <x:f>IF(OR(E936="GRID",E936="FINISHED",E936="PIT"),0,MAX(Control!$B$15,(INDEX(Drivers!$D$8:$D$13,B936)+INDEX(Drivers!$E$8:$E$13,B936)*SIN((A936+INDEX(Drivers!$F$8:$F$13,B936)+Control!$B$16)*Control!$B$14))*INDEX(TrackMap!$M$8:$M$141,MOD(INT(D936)-1,Control!$B$7)+1)*IF(E936="BOOST",Control!$B$12,1)))</x:f>
        <x:v>4.005964285552181</x:v>
      </x:c>
      <x:c r="G936" s="83" t="n">
        <x:f>IF(A936=0,D936,MIN(Control!$B$17,D936+F936))</x:f>
        <x:v>525.8706438562843</x:v>
      </x:c>
      <x:c r="H936" s="73" t="n">
        <x:f>MOD(INT(G936)-1,Control!$B$7)+1</x:f>
        <x:v>123</x:v>
      </x:c>
      <x:c r="I936" s="73" t="n">
        <x:f>MIN(Control!$B$6,MAX(1,INT(MAX(0,G936)/Control!$B$7)+1))</x:f>
        <x:v>4</x:v>
      </x:c>
      <x:c r="J936" s="73" t="n">
        <x:f>INDEX(Drivers!$H$8:$H$13,B936)</x:f>
        <x:v>1</x:v>
      </x:c>
      <x:c r="K936" s="73" t="n">
        <x:f>IF(J936=1,INDEX(TrackMap!$I$8:$I$141,H936),INDEX(TrackMap!$L$8:$L$141,H936))</x:f>
        <x:v>3128</x:v>
      </x:c>
      <x:c r="L936" s="73" t="str">
        <x:f>INDEX(TrackMap!$F$8:$F$141,H936)</x:f>
        <x:v>←</x:v>
      </x:c>
      <x:c r="M936" s="87" t="n">
        <x:f>MAX(0,G936/Control!$B$17)</x:f>
        <x:v>0.7848815579944542</x:v>
      </x:c>
      <x:c r="N936" s="73" t="n">
        <x:f>IF(N930&gt;0,N930,IF(G936&gt;=Control!$B$17,A936,0))</x:f>
        <x:v>0</x:v>
      </x:c>
      <x:c r="O936" s="91" t="n">
        <x:f>IF(N936&gt;0,Control!$B$17+Control!$B$8+1-N936,G936)-B936/100000</x:f>
        <x:v>525.8705938562844</x:v>
      </x:c>
      <x:c r="P936" s="73" t="n">
        <x:f>COUNTIF($O$932:$O$937,"&gt;"&amp;O936)+1</x:f>
        <x:v>3</x:v>
      </x:c>
      <x:c r="Q936" s="83" t="n">
        <x:f>MAX($G$932:$G$937)-G936</x:f>
        <x:v>3.64772580834574</x:v>
      </x:c>
      <x:c r="R936" s="73" t="str">
        <x:f>INDEX(TrackMap!$B$8:$B$141,H936)</x:f>
        <x:v>发车大直道</x:v>
      </x:c>
    </x:row>
    <x:row r="937" ht="20" customHeight="1">
      <x:c r="A937" s="73" t="n">
        <x:v>154</x:v>
      </x:c>
      <x:c r="B937" s="73" t="n">
        <x:v>6</x:v>
      </x:c>
      <x:c r="C937" s="73" t="str">
        <x:f>INDEX(Drivers!$B$8:$B$13,B937)</x:f>
        <x:v>玫速</x:v>
      </x:c>
      <x:c r="D937" s="83" t="n">
        <x:f>G931</x:f>
        <x:v>521.0979762585689</x:v>
      </x:c>
      <x:c r="E937" s="83" t="str">
        <x:f>IF(A937=0,"GRID",IF(D937&gt;=Control!$B$17,"FINISHED",IF(AND(A937&gt;=INDEX(Drivers!$G$8:$G$13,B937),A937&lt;INDEX(Drivers!$G$8:$G$13,B937)+INDEX(Drivers!$J$8:$J$13,B937)),"PIT",IF(MOD(A937+INDEX(Drivers!$F$8:$F$13,B937),Control!$B$11)&lt;Control!$B$13,"BOOST","RACE"))))</x:f>
        <x:v>RACE</x:v>
      </x:c>
      <x:c r="F937" s="83" t="n">
        <x:f>IF(OR(E937="GRID",E937="FINISHED",E937="PIT"),0,MAX(Control!$B$15,(INDEX(Drivers!$D$8:$D$13,B937)+INDEX(Drivers!$E$8:$E$13,B937)*SIN((A937+INDEX(Drivers!$F$8:$F$13,B937)+Control!$B$16)*Control!$B$14))*INDEX(TrackMap!$M$8:$M$141,MOD(INT(D937)-1,Control!$B$7)+1)*IF(E937="BOOST",Control!$B$12,1)))</x:f>
        <x:v>3.527750529295273</x:v>
      </x:c>
      <x:c r="G937" s="83" t="n">
        <x:f>IF(A937=0,D937,MIN(Control!$B$17,D937+F937))</x:f>
        <x:v>524.6257267878642</x:v>
      </x:c>
      <x:c r="H937" s="73" t="n">
        <x:f>MOD(INT(G937)-1,Control!$B$7)+1</x:f>
        <x:v>122</x:v>
      </x:c>
      <x:c r="I937" s="73" t="n">
        <x:f>MIN(Control!$B$6,MAX(1,INT(MAX(0,G937)/Control!$B$7)+1))</x:f>
        <x:v>4</x:v>
      </x:c>
      <x:c r="J937" s="73" t="n">
        <x:f>INDEX(Drivers!$H$8:$H$13,B937)</x:f>
        <x:v>2</x:v>
      </x:c>
      <x:c r="K937" s="73" t="n">
        <x:f>IF(J937=1,INDEX(TrackMap!$I$8:$I$141,H937),INDEX(TrackMap!$L$8:$L$141,H937))</x:f>
        <x:v>3029</x:v>
      </x:c>
      <x:c r="L937" s="73" t="str">
        <x:f>INDEX(TrackMap!$F$8:$F$141,H937)</x:f>
        <x:v>←</x:v>
      </x:c>
      <x:c r="M937" s="87" t="n">
        <x:f>MAX(0,G937/Control!$B$17)</x:f>
        <x:v>0.7830234728177078</x:v>
      </x:c>
      <x:c r="N937" s="73" t="n">
        <x:f>IF(N931&gt;0,N931,IF(G937&gt;=Control!$B$17,A937,0))</x:f>
        <x:v>0</x:v>
      </x:c>
      <x:c r="O937" s="91" t="n">
        <x:f>IF(N937&gt;0,Control!$B$17+Control!$B$8+1-N937,G937)-B937/100000</x:f>
        <x:v>524.6256667878642</x:v>
      </x:c>
      <x:c r="P937" s="73" t="n">
        <x:f>COUNTIF($O$932:$O$937,"&gt;"&amp;O937)+1</x:f>
        <x:v>4</x:v>
      </x:c>
      <x:c r="Q937" s="83" t="n">
        <x:f>MAX($G$932:$G$937)-G937</x:f>
        <x:v>4.892642876765876</x:v>
      </x:c>
      <x:c r="R937" s="73" t="str">
        <x:f>INDEX(TrackMap!$B$8:$B$141,H937)</x:f>
        <x:v>发车大直道</x:v>
      </x:c>
    </x:row>
    <x:row r="938" ht="20" customHeight="1">
      <x:c r="A938" s="73" t="n">
        <x:v>155</x:v>
      </x:c>
      <x:c r="B938" s="73" t="n">
        <x:v>1</x:v>
      </x:c>
      <x:c r="C938" s="73" t="str">
        <x:f>INDEX(Drivers!$B$8:$B$13,B938)</x:f>
        <x:v>赤焰</x:v>
      </x:c>
      <x:c r="D938" s="83" t="n">
        <x:f>G932</x:f>
        <x:v>529.5183696646301</x:v>
      </x:c>
      <x:c r="E938" s="83" t="str">
        <x:f>IF(A938=0,"GRID",IF(D938&gt;=Control!$B$17,"FINISHED",IF(AND(A938&gt;=INDEX(Drivers!$G$8:$G$13,B938),A938&lt;INDEX(Drivers!$G$8:$G$13,B938)+INDEX(Drivers!$J$8:$J$13,B938)),"PIT",IF(MOD(A938+INDEX(Drivers!$F$8:$F$13,B938),Control!$B$11)&lt;Control!$B$13,"BOOST","RACE"))))</x:f>
        <x:v>BOOST</x:v>
      </x:c>
      <x:c r="F938" s="83" t="n">
        <x:f>IF(OR(E938="GRID",E938="FINISHED",E938="PIT"),0,MAX(Control!$B$15,(INDEX(Drivers!$D$8:$D$13,B938)+INDEX(Drivers!$E$8:$E$13,B938)*SIN((A938+INDEX(Drivers!$F$8:$F$13,B938)+Control!$B$16)*Control!$B$14))*INDEX(TrackMap!$M$8:$M$141,MOD(INT(D938)-1,Control!$B$7)+1)*IF(E938="BOOST",Control!$B$12,1)))</x:f>
        <x:v>4.706762171018613</x:v>
      </x:c>
      <x:c r="G938" s="83" t="n">
        <x:f>IF(A938=0,D938,MIN(Control!$B$17,D938+F938))</x:f>
        <x:v>534.2251318356487</x:v>
      </x:c>
      <x:c r="H938" s="73" t="n">
        <x:f>MOD(INT(G938)-1,Control!$B$7)+1</x:f>
        <x:v>132</x:v>
      </x:c>
      <x:c r="I938" s="73" t="n">
        <x:f>MIN(Control!$B$6,MAX(1,INT(MAX(0,G938)/Control!$B$7)+1))</x:f>
        <x:v>4</x:v>
      </x:c>
      <x:c r="J938" s="73" t="n">
        <x:f>INDEX(Drivers!$H$8:$H$13,B938)</x:f>
        <x:v>1</x:v>
      </x:c>
      <x:c r="K938" s="73" t="n">
        <x:f>IF(J938=1,INDEX(TrackMap!$I$8:$I$141,H938),INDEX(TrackMap!$L$8:$L$141,H938))</x:f>
        <x:v>3119</x:v>
      </x:c>
      <x:c r="L938" s="73" t="str">
        <x:f>INDEX(TrackMap!$F$8:$F$141,H938)</x:f>
        <x:v>←</x:v>
      </x:c>
      <x:c r="M938" s="87" t="n">
        <x:f>MAX(0,G938/Control!$B$17)</x:f>
        <x:v>0.7973509430382816</x:v>
      </x:c>
      <x:c r="N938" s="73" t="n">
        <x:f>IF(N932&gt;0,N932,IF(G938&gt;=Control!$B$17,A938,0))</x:f>
        <x:v>0</x:v>
      </x:c>
      <x:c r="O938" s="91" t="n">
        <x:f>IF(N938&gt;0,Control!$B$17+Control!$B$8+1-N938,G938)-B938/100000</x:f>
        <x:v>534.2251218356487</x:v>
      </x:c>
      <x:c r="P938" s="73" t="n">
        <x:f>COUNTIF($O$938:$O$943,"&gt;"&amp;O938)+1</x:f>
        <x:v>1</x:v>
      </x:c>
      <x:c r="Q938" s="83" t="n">
        <x:f>MAX($G$938:$G$943)-G938</x:f>
        <x:v>0</x:v>
      </x:c>
      <x:c r="R938" s="73" t="str">
        <x:f>INDEX(TrackMap!$B$8:$B$141,H938)</x:f>
        <x:v>发车大直道</x:v>
      </x:c>
    </x:row>
    <x:row r="939" ht="20" customHeight="1">
      <x:c r="A939" s="73" t="n">
        <x:v>155</x:v>
      </x:c>
      <x:c r="B939" s="73" t="n">
        <x:v>2</x:v>
      </x:c>
      <x:c r="C939" s="73" t="str">
        <x:f>INDEX(Drivers!$B$8:$B$13,B939)</x:f>
        <x:v>蓝电</x:v>
      </x:c>
      <x:c r="D939" s="83" t="n">
        <x:f>G933</x:f>
        <x:v>513.449312258561</x:v>
      </x:c>
      <x:c r="E939" s="83" t="str">
        <x:f>IF(A939=0,"GRID",IF(D939&gt;=Control!$B$17,"FINISHED",IF(AND(A939&gt;=INDEX(Drivers!$G$8:$G$13,B939),A939&lt;INDEX(Drivers!$G$8:$G$13,B939)+INDEX(Drivers!$J$8:$J$13,B939)),"PIT",IF(MOD(A939+INDEX(Drivers!$F$8:$F$13,B939),Control!$B$11)&lt;Control!$B$13,"BOOST","RACE"))))</x:f>
        <x:v>RACE</x:v>
      </x:c>
      <x:c r="F939" s="83" t="n">
        <x:f>IF(OR(E939="GRID",E939="FINISHED",E939="PIT"),0,MAX(Control!$B$15,(INDEX(Drivers!$D$8:$D$13,B939)+INDEX(Drivers!$E$8:$E$13,B939)*SIN((A939+INDEX(Drivers!$F$8:$F$13,B939)+Control!$B$16)*Control!$B$14))*INDEX(TrackMap!$M$8:$M$141,MOD(INT(D939)-1,Control!$B$7)+1)*IF(E939="BOOST",Control!$B$12,1)))</x:f>
        <x:v>4.032130036803727</x:v>
      </x:c>
      <x:c r="G939" s="83" t="n">
        <x:f>IF(A939=0,D939,MIN(Control!$B$17,D939+F939))</x:f>
        <x:v>517.4814422953648</x:v>
      </x:c>
      <x:c r="H939" s="73" t="n">
        <x:f>MOD(INT(G939)-1,Control!$B$7)+1</x:f>
        <x:v>115</x:v>
      </x:c>
      <x:c r="I939" s="73" t="n">
        <x:f>MIN(Control!$B$6,MAX(1,INT(MAX(0,G939)/Control!$B$7)+1))</x:f>
        <x:v>4</x:v>
      </x:c>
      <x:c r="J939" s="73" t="n">
        <x:f>INDEX(Drivers!$H$8:$H$13,B939)</x:f>
        <x:v>2</x:v>
      </x:c>
      <x:c r="K939" s="73" t="n">
        <x:f>IF(J939=1,INDEX(TrackMap!$I$8:$I$141,H939),INDEX(TrackMap!$L$8:$L$141,H939))</x:f>
        <x:v>3036</x:v>
      </x:c>
      <x:c r="L939" s="73" t="str">
        <x:f>INDEX(TrackMap!$F$8:$F$141,H939)</x:f>
        <x:v>←</x:v>
      </x:c>
      <x:c r="M939" s="87" t="n">
        <x:f>MAX(0,G939/Control!$B$17)</x:f>
        <x:v>0.7723603616348728</x:v>
      </x:c>
      <x:c r="N939" s="73" t="n">
        <x:f>IF(N933&gt;0,N933,IF(G939&gt;=Control!$B$17,A939,0))</x:f>
        <x:v>0</x:v>
      </x:c>
      <x:c r="O939" s="91" t="n">
        <x:f>IF(N939&gt;0,Control!$B$17+Control!$B$8+1-N939,G939)-B939/100000</x:f>
        <x:v>517.4814222953648</x:v>
      </x:c>
      <x:c r="P939" s="73" t="n">
        <x:f>COUNTIF($O$938:$O$943,"&gt;"&amp;O939)+1</x:f>
        <x:v>6</x:v>
      </x:c>
      <x:c r="Q939" s="83" t="n">
        <x:f>MAX($G$938:$G$943)-G939</x:f>
        <x:v>16.743689540283867</x:v>
      </x:c>
      <x:c r="R939" s="73" t="str">
        <x:f>INDEX(TrackMap!$B$8:$B$141,H939)</x:f>
        <x:v>发车大直道</x:v>
      </x:c>
    </x:row>
    <x:row r="940" ht="20" customHeight="1">
      <x:c r="A940" s="73" t="n">
        <x:v>155</x:v>
      </x:c>
      <x:c r="B940" s="73" t="n">
        <x:v>3</x:v>
      </x:c>
      <x:c r="C940" s="73" t="str">
        <x:f>INDEX(Drivers!$B$8:$B$13,B940)</x:f>
        <x:v>金翼</x:v>
      </x:c>
      <x:c r="D940" s="83" t="n">
        <x:f>G934</x:f>
        <x:v>527.2443540269376</x:v>
      </x:c>
      <x:c r="E940" s="83" t="str">
        <x:f>IF(A940=0,"GRID",IF(D940&gt;=Control!$B$17,"FINISHED",IF(AND(A940&gt;=INDEX(Drivers!$G$8:$G$13,B940),A940&lt;INDEX(Drivers!$G$8:$G$13,B940)+INDEX(Drivers!$J$8:$J$13,B940)),"PIT",IF(MOD(A940+INDEX(Drivers!$F$8:$F$13,B940),Control!$B$11)&lt;Control!$B$13,"BOOST","RACE"))))</x:f>
        <x:v>RACE</x:v>
      </x:c>
      <x:c r="F940" s="83" t="n">
        <x:f>IF(OR(E940="GRID",E940="FINISHED",E940="PIT"),0,MAX(Control!$B$15,(INDEX(Drivers!$D$8:$D$13,B940)+INDEX(Drivers!$E$8:$E$13,B940)*SIN((A940+INDEX(Drivers!$F$8:$F$13,B940)+Control!$B$16)*Control!$B$14))*INDEX(TrackMap!$M$8:$M$141,MOD(INT(D940)-1,Control!$B$7)+1)*IF(E940="BOOST",Control!$B$12,1)))</x:f>
        <x:v>3.2068532113395274</x:v>
      </x:c>
      <x:c r="G940" s="83" t="n">
        <x:f>IF(A940=0,D940,MIN(Control!$B$17,D940+F940))</x:f>
        <x:v>530.4512072382771</x:v>
      </x:c>
      <x:c r="H940" s="73" t="n">
        <x:f>MOD(INT(G940)-1,Control!$B$7)+1</x:f>
        <x:v>128</x:v>
      </x:c>
      <x:c r="I940" s="73" t="n">
        <x:f>MIN(Control!$B$6,MAX(1,INT(MAX(0,G940)/Control!$B$7)+1))</x:f>
        <x:v>4</x:v>
      </x:c>
      <x:c r="J940" s="73" t="n">
        <x:f>INDEX(Drivers!$H$8:$H$13,B940)</x:f>
        <x:v>1</x:v>
      </x:c>
      <x:c r="K940" s="73" t="n">
        <x:f>IF(J940=1,INDEX(TrackMap!$I$8:$I$141,H940),INDEX(TrackMap!$L$8:$L$141,H940))</x:f>
        <x:v>3123</x:v>
      </x:c>
      <x:c r="L940" s="73" t="str">
        <x:f>INDEX(TrackMap!$F$8:$F$141,H940)</x:f>
        <x:v>←</x:v>
      </x:c>
      <x:c r="M940" s="87" t="n">
        <x:f>MAX(0,G940/Control!$B$17)</x:f>
        <x:v>0.7917182197586226</x:v>
      </x:c>
      <x:c r="N940" s="73" t="n">
        <x:f>IF(N934&gt;0,N934,IF(G940&gt;=Control!$B$17,A940,0))</x:f>
        <x:v>0</x:v>
      </x:c>
      <x:c r="O940" s="91" t="n">
        <x:f>IF(N940&gt;0,Control!$B$17+Control!$B$8+1-N940,G940)-B940/100000</x:f>
        <x:v>530.4511772382771</x:v>
      </x:c>
      <x:c r="P940" s="73" t="n">
        <x:f>COUNTIF($O$938:$O$943,"&gt;"&amp;O940)+1</x:f>
        <x:v>2</x:v>
      </x:c>
      <x:c r="Q940" s="83" t="n">
        <x:f>MAX($G$938:$G$943)-G940</x:f>
        <x:v>3.773924597371547</x:v>
      </x:c>
      <x:c r="R940" s="73" t="str">
        <x:f>INDEX(TrackMap!$B$8:$B$141,H940)</x:f>
        <x:v>发车大直道</x:v>
      </x:c>
    </x:row>
    <x:row r="941" ht="20" customHeight="1">
      <x:c r="A941" s="73" t="n">
        <x:v>155</x:v>
      </x:c>
      <x:c r="B941" s="73" t="n">
        <x:v>4</x:v>
      </x:c>
      <x:c r="C941" s="73" t="str">
        <x:f>INDEX(Drivers!$B$8:$B$13,B941)</x:f>
        <x:v>紫影</x:v>
      </x:c>
      <x:c r="D941" s="83" t="n">
        <x:f>G935</x:f>
        <x:v>514.6688953997016</x:v>
      </x:c>
      <x:c r="E941" s="83" t="str">
        <x:f>IF(A941=0,"GRID",IF(D941&gt;=Control!$B$17,"FINISHED",IF(AND(A941&gt;=INDEX(Drivers!$G$8:$G$13,B941),A941&lt;INDEX(Drivers!$G$8:$G$13,B941)+INDEX(Drivers!$J$8:$J$13,B941)),"PIT",IF(MOD(A941+INDEX(Drivers!$F$8:$F$13,B941),Control!$B$11)&lt;Control!$B$13,"BOOST","RACE"))))</x:f>
        <x:v>RACE</x:v>
      </x:c>
      <x:c r="F941" s="83" t="n">
        <x:f>IF(OR(E941="GRID",E941="FINISHED",E941="PIT"),0,MAX(Control!$B$15,(INDEX(Drivers!$D$8:$D$13,B941)+INDEX(Drivers!$E$8:$E$13,B941)*SIN((A941+INDEX(Drivers!$F$8:$F$13,B941)+Control!$B$16)*Control!$B$14))*INDEX(TrackMap!$M$8:$M$141,MOD(INT(D941)-1,Control!$B$7)+1)*IF(E941="BOOST",Control!$B$12,1)))</x:f>
        <x:v>4.137361084509812</x:v>
      </x:c>
      <x:c r="G941" s="83" t="n">
        <x:f>IF(A941=0,D941,MIN(Control!$B$17,D941+F941))</x:f>
        <x:v>518.8062564842114</x:v>
      </x:c>
      <x:c r="H941" s="73" t="n">
        <x:f>MOD(INT(G941)-1,Control!$B$7)+1</x:f>
        <x:v>116</x:v>
      </x:c>
      <x:c r="I941" s="73" t="n">
        <x:f>MIN(Control!$B$6,MAX(1,INT(MAX(0,G941)/Control!$B$7)+1))</x:f>
        <x:v>4</x:v>
      </x:c>
      <x:c r="J941" s="73" t="n">
        <x:f>INDEX(Drivers!$H$8:$H$13,B941)</x:f>
        <x:v>2</x:v>
      </x:c>
      <x:c r="K941" s="73" t="n">
        <x:f>IF(J941=1,INDEX(TrackMap!$I$8:$I$141,H941),INDEX(TrackMap!$L$8:$L$141,H941))</x:f>
        <x:v>3035</x:v>
      </x:c>
      <x:c r="L941" s="73" t="str">
        <x:f>INDEX(TrackMap!$F$8:$F$141,H941)</x:f>
        <x:v>←</x:v>
      </x:c>
      <x:c r="M941" s="87" t="n">
        <x:f>MAX(0,G941/Control!$B$17)</x:f>
        <x:v>0.7743376962450916</x:v>
      </x:c>
      <x:c r="N941" s="73" t="n">
        <x:f>IF(N935&gt;0,N935,IF(G941&gt;=Control!$B$17,A941,0))</x:f>
        <x:v>0</x:v>
      </x:c>
      <x:c r="O941" s="91" t="n">
        <x:f>IF(N941&gt;0,Control!$B$17+Control!$B$8+1-N941,G941)-B941/100000</x:f>
        <x:v>518.8062164842114</x:v>
      </x:c>
      <x:c r="P941" s="73" t="n">
        <x:f>COUNTIF($O$938:$O$943,"&gt;"&amp;O941)+1</x:f>
        <x:v>5</x:v>
      </x:c>
      <x:c r="Q941" s="83" t="n">
        <x:f>MAX($G$938:$G$943)-G941</x:f>
        <x:v>15.418875351437237</x:v>
      </x:c>
      <x:c r="R941" s="73" t="str">
        <x:f>INDEX(TrackMap!$B$8:$B$141,H941)</x:f>
        <x:v>发车大直道</x:v>
      </x:c>
    </x:row>
    <x:row r="942" ht="20" customHeight="1">
      <x:c r="A942" s="73" t="n">
        <x:v>155</x:v>
      </x:c>
      <x:c r="B942" s="73" t="n">
        <x:v>5</x:v>
      </x:c>
      <x:c r="C942" s="73" t="str">
        <x:f>INDEX(Drivers!$B$8:$B$13,B942)</x:f>
        <x:v>青锋</x:v>
      </x:c>
      <x:c r="D942" s="83" t="n">
        <x:f>G936</x:f>
        <x:v>525.8706438562843</x:v>
      </x:c>
      <x:c r="E942" s="83" t="str">
        <x:f>IF(A942=0,"GRID",IF(D942&gt;=Control!$B$17,"FINISHED",IF(AND(A942&gt;=INDEX(Drivers!$G$8:$G$13,B942),A942&lt;INDEX(Drivers!$G$8:$G$13,B942)+INDEX(Drivers!$J$8:$J$13,B942)),"PIT",IF(MOD(A942+INDEX(Drivers!$F$8:$F$13,B942),Control!$B$11)&lt;Control!$B$13,"BOOST","RACE"))))</x:f>
        <x:v>RACE</x:v>
      </x:c>
      <x:c r="F942" s="83" t="n">
        <x:f>IF(OR(E942="GRID",E942="FINISHED",E942="PIT"),0,MAX(Control!$B$15,(INDEX(Drivers!$D$8:$D$13,B942)+INDEX(Drivers!$E$8:$E$13,B942)*SIN((A942+INDEX(Drivers!$F$8:$F$13,B942)+Control!$B$16)*Control!$B$14))*INDEX(TrackMap!$M$8:$M$141,MOD(INT(D942)-1,Control!$B$7)+1)*IF(E942="BOOST",Control!$B$12,1)))</x:f>
        <x:v>4.110427243022121</x:v>
      </x:c>
      <x:c r="G942" s="83" t="n">
        <x:f>IF(A942=0,D942,MIN(Control!$B$17,D942+F942))</x:f>
        <x:v>529.9810710993065</x:v>
      </x:c>
      <x:c r="H942" s="73" t="n">
        <x:f>MOD(INT(G942)-1,Control!$B$7)+1</x:f>
        <x:v>127</x:v>
      </x:c>
      <x:c r="I942" s="73" t="n">
        <x:f>MIN(Control!$B$6,MAX(1,INT(MAX(0,G942)/Control!$B$7)+1))</x:f>
        <x:v>4</x:v>
      </x:c>
      <x:c r="J942" s="73" t="n">
        <x:f>INDEX(Drivers!$H$8:$H$13,B942)</x:f>
        <x:v>1</x:v>
      </x:c>
      <x:c r="K942" s="73" t="n">
        <x:f>IF(J942=1,INDEX(TrackMap!$I$8:$I$141,H942),INDEX(TrackMap!$L$8:$L$141,H942))</x:f>
        <x:v>3124</x:v>
      </x:c>
      <x:c r="L942" s="73" t="str">
        <x:f>INDEX(TrackMap!$F$8:$F$141,H942)</x:f>
        <x:v>←</x:v>
      </x:c>
      <x:c r="M942" s="87" t="n">
        <x:f>MAX(0,G942/Control!$B$17)</x:f>
        <x:v>0.7910165240288157</x:v>
      </x:c>
      <x:c r="N942" s="73" t="n">
        <x:f>IF(N936&gt;0,N936,IF(G942&gt;=Control!$B$17,A942,0))</x:f>
        <x:v>0</x:v>
      </x:c>
      <x:c r="O942" s="91" t="n">
        <x:f>IF(N942&gt;0,Control!$B$17+Control!$B$8+1-N942,G942)-B942/100000</x:f>
        <x:v>529.9810210993065</x:v>
      </x:c>
      <x:c r="P942" s="73" t="n">
        <x:f>COUNTIF($O$938:$O$943,"&gt;"&amp;O942)+1</x:f>
        <x:v>3</x:v>
      </x:c>
      <x:c r="Q942" s="83" t="n">
        <x:f>MAX($G$938:$G$943)-G942</x:f>
        <x:v>4.244060736342135</x:v>
      </x:c>
      <x:c r="R942" s="73" t="str">
        <x:f>INDEX(TrackMap!$B$8:$B$141,H942)</x:f>
        <x:v>发车大直道</x:v>
      </x:c>
    </x:row>
    <x:row r="943" ht="20" customHeight="1">
      <x:c r="A943" s="73" t="n">
        <x:v>155</x:v>
      </x:c>
      <x:c r="B943" s="73" t="n">
        <x:v>6</x:v>
      </x:c>
      <x:c r="C943" s="73" t="str">
        <x:f>INDEX(Drivers!$B$8:$B$13,B943)</x:f>
        <x:v>玫速</x:v>
      </x:c>
      <x:c r="D943" s="83" t="n">
        <x:f>G937</x:f>
        <x:v>524.6257267878642</x:v>
      </x:c>
      <x:c r="E943" s="83" t="str">
        <x:f>IF(A943=0,"GRID",IF(D943&gt;=Control!$B$17,"FINISHED",IF(AND(A943&gt;=INDEX(Drivers!$G$8:$G$13,B943),A943&lt;INDEX(Drivers!$G$8:$G$13,B943)+INDEX(Drivers!$J$8:$J$13,B943)),"PIT",IF(MOD(A943+INDEX(Drivers!$F$8:$F$13,B943),Control!$B$11)&lt;Control!$B$13,"BOOST","RACE"))))</x:f>
        <x:v>RACE</x:v>
      </x:c>
      <x:c r="F943" s="83" t="n">
        <x:f>IF(OR(E943="GRID",E943="FINISHED",E943="PIT"),0,MAX(Control!$B$15,(INDEX(Drivers!$D$8:$D$13,B943)+INDEX(Drivers!$E$8:$E$13,B943)*SIN((A943+INDEX(Drivers!$F$8:$F$13,B943)+Control!$B$16)*Control!$B$14))*INDEX(TrackMap!$M$8:$M$141,MOD(INT(D943)-1,Control!$B$7)+1)*IF(E943="BOOST",Control!$B$12,1)))</x:f>
        <x:v>3.328185784944307</x:v>
      </x:c>
      <x:c r="G943" s="83" t="n">
        <x:f>IF(A943=0,D943,MIN(Control!$B$17,D943+F943))</x:f>
        <x:v>527.9539125728085</x:v>
      </x:c>
      <x:c r="H943" s="73" t="n">
        <x:f>MOD(INT(G943)-1,Control!$B$7)+1</x:f>
        <x:v>125</x:v>
      </x:c>
      <x:c r="I943" s="73" t="n">
        <x:f>MIN(Control!$B$6,MAX(1,INT(MAX(0,G943)/Control!$B$7)+1))</x:f>
        <x:v>4</x:v>
      </x:c>
      <x:c r="J943" s="73" t="n">
        <x:f>INDEX(Drivers!$H$8:$H$13,B943)</x:f>
        <x:v>2</x:v>
      </x:c>
      <x:c r="K943" s="73" t="n">
        <x:f>IF(J943=1,INDEX(TrackMap!$I$8:$I$141,H943),INDEX(TrackMap!$L$8:$L$141,H943))</x:f>
        <x:v>3026</x:v>
      </x:c>
      <x:c r="L943" s="73" t="str">
        <x:f>INDEX(TrackMap!$F$8:$F$141,H943)</x:f>
        <x:v>←</x:v>
      </x:c>
      <x:c r="M943" s="87" t="n">
        <x:f>MAX(0,G943/Control!$B$17)</x:f>
        <x:v>0.7879909142877738</x:v>
      </x:c>
      <x:c r="N943" s="73" t="n">
        <x:f>IF(N937&gt;0,N937,IF(G943&gt;=Control!$B$17,A943,0))</x:f>
        <x:v>0</x:v>
      </x:c>
      <x:c r="O943" s="91" t="n">
        <x:f>IF(N943&gt;0,Control!$B$17+Control!$B$8+1-N943,G943)-B943/100000</x:f>
        <x:v>527.9538525728085</x:v>
      </x:c>
      <x:c r="P943" s="73" t="n">
        <x:f>COUNTIF($O$938:$O$943,"&gt;"&amp;O943)+1</x:f>
        <x:v>4</x:v>
      </x:c>
      <x:c r="Q943" s="83" t="n">
        <x:f>MAX($G$938:$G$943)-G943</x:f>
        <x:v>6.271219262840191</x:v>
      </x:c>
      <x:c r="R943" s="73" t="str">
        <x:f>INDEX(TrackMap!$B$8:$B$141,H943)</x:f>
        <x:v>发车大直道</x:v>
      </x:c>
    </x:row>
    <x:row r="944" ht="20" customHeight="1">
      <x:c r="A944" s="73" t="n">
        <x:v>156</x:v>
      </x:c>
      <x:c r="B944" s="73" t="n">
        <x:v>1</x:v>
      </x:c>
      <x:c r="C944" s="73" t="str">
        <x:f>INDEX(Drivers!$B$8:$B$13,B944)</x:f>
        <x:v>赤焰</x:v>
      </x:c>
      <x:c r="D944" s="83" t="n">
        <x:f>G938</x:f>
        <x:v>534.2251318356487</x:v>
      </x:c>
      <x:c r="E944" s="83" t="str">
        <x:f>IF(A944=0,"GRID",IF(D944&gt;=Control!$B$17,"FINISHED",IF(AND(A944&gt;=INDEX(Drivers!$G$8:$G$13,B944),A944&lt;INDEX(Drivers!$G$8:$G$13,B944)+INDEX(Drivers!$J$8:$J$13,B944)),"PIT",IF(MOD(A944+INDEX(Drivers!$F$8:$F$13,B944),Control!$B$11)&lt;Control!$B$13,"BOOST","RACE"))))</x:f>
        <x:v>BOOST</x:v>
      </x:c>
      <x:c r="F944" s="83" t="n">
        <x:f>IF(OR(E944="GRID",E944="FINISHED",E944="PIT"),0,MAX(Control!$B$15,(INDEX(Drivers!$D$8:$D$13,B944)+INDEX(Drivers!$E$8:$E$13,B944)*SIN((A944+INDEX(Drivers!$F$8:$F$13,B944)+Control!$B$16)*Control!$B$14))*INDEX(TrackMap!$M$8:$M$141,MOD(INT(D944)-1,Control!$B$7)+1)*IF(E944="BOOST",Control!$B$12,1)))</x:f>
        <x:v>4.97805993955324</x:v>
      </x:c>
      <x:c r="G944" s="83" t="n">
        <x:f>IF(A944=0,D944,MIN(Control!$B$17,D944+F944))</x:f>
        <x:v>539.2031917752018</x:v>
      </x:c>
      <x:c r="H944" s="73" t="n">
        <x:f>MOD(INT(G944)-1,Control!$B$7)+1</x:f>
        <x:v>3</x:v>
      </x:c>
      <x:c r="I944" s="73" t="n">
        <x:f>MIN(Control!$B$6,MAX(1,INT(MAX(0,G944)/Control!$B$7)+1))</x:f>
        <x:v>5</x:v>
      </x:c>
      <x:c r="J944" s="73" t="n">
        <x:f>INDEX(Drivers!$H$8:$H$13,B944)</x:f>
        <x:v>1</x:v>
      </x:c>
      <x:c r="K944" s="73" t="n">
        <x:f>IF(J944=1,INDEX(TrackMap!$I$8:$I$141,H944),INDEX(TrackMap!$L$8:$L$141,H944))</x:f>
        <x:v>3114</x:v>
      </x:c>
      <x:c r="L944" s="73" t="str">
        <x:f>INDEX(TrackMap!$F$8:$F$141,H944)</x:f>
        <x:v>←</x:v>
      </x:c>
      <x:c r="M944" s="87" t="n">
        <x:f>MAX(0,G944/Control!$B$17)</x:f>
        <x:v>0.8047808832465699</x:v>
      </x:c>
      <x:c r="N944" s="73" t="n">
        <x:f>IF(N938&gt;0,N938,IF(G944&gt;=Control!$B$17,A944,0))</x:f>
        <x:v>0</x:v>
      </x:c>
      <x:c r="O944" s="91" t="n">
        <x:f>IF(N944&gt;0,Control!$B$17+Control!$B$8+1-N944,G944)-B944/100000</x:f>
        <x:v>539.2031817752019</x:v>
      </x:c>
      <x:c r="P944" s="73" t="n">
        <x:f>COUNTIF($O$944:$O$949,"&gt;"&amp;O944)+1</x:f>
        <x:v>1</x:v>
      </x:c>
      <x:c r="Q944" s="83" t="n">
        <x:f>MAX($G$944:$G$949)-G944</x:f>
        <x:v>0</x:v>
      </x:c>
      <x:c r="R944" s="73" t="str">
        <x:f>INDEX(TrackMap!$B$8:$B$141,H944)</x:f>
        <x:v>发车大直道</x:v>
      </x:c>
    </x:row>
    <x:row r="945" ht="20" customHeight="1">
      <x:c r="A945" s="73" t="n">
        <x:v>156</x:v>
      </x:c>
      <x:c r="B945" s="73" t="n">
        <x:v>2</x:v>
      </x:c>
      <x:c r="C945" s="73" t="str">
        <x:f>INDEX(Drivers!$B$8:$B$13,B945)</x:f>
        <x:v>蓝电</x:v>
      </x:c>
      <x:c r="D945" s="83" t="n">
        <x:f>G939</x:f>
        <x:v>517.4814422953648</x:v>
      </x:c>
      <x:c r="E945" s="83" t="str">
        <x:f>IF(A945=0,"GRID",IF(D945&gt;=Control!$B$17,"FINISHED",IF(AND(A945&gt;=INDEX(Drivers!$G$8:$G$13,B945),A945&lt;INDEX(Drivers!$G$8:$G$13,B945)+INDEX(Drivers!$J$8:$J$13,B945)),"PIT",IF(MOD(A945+INDEX(Drivers!$F$8:$F$13,B945),Control!$B$11)&lt;Control!$B$13,"BOOST","RACE"))))</x:f>
        <x:v>RACE</x:v>
      </x:c>
      <x:c r="F945" s="83" t="n">
        <x:f>IF(OR(E945="GRID",E945="FINISHED",E945="PIT"),0,MAX(Control!$B$15,(INDEX(Drivers!$D$8:$D$13,B945)+INDEX(Drivers!$E$8:$E$13,B945)*SIN((A945+INDEX(Drivers!$F$8:$F$13,B945)+Control!$B$16)*Control!$B$14))*INDEX(TrackMap!$M$8:$M$141,MOD(INT(D945)-1,Control!$B$7)+1)*IF(E945="BOOST",Control!$B$12,1)))</x:f>
        <x:v>3.8588996614366518</x:v>
      </x:c>
      <x:c r="G945" s="83" t="n">
        <x:f>IF(A945=0,D945,MIN(Control!$B$17,D945+F945))</x:f>
        <x:v>521.3403419568015</x:v>
      </x:c>
      <x:c r="H945" s="73" t="n">
        <x:f>MOD(INT(G945)-1,Control!$B$7)+1</x:f>
        <x:v>119</x:v>
      </x:c>
      <x:c r="I945" s="73" t="n">
        <x:f>MIN(Control!$B$6,MAX(1,INT(MAX(0,G945)/Control!$B$7)+1))</x:f>
        <x:v>4</x:v>
      </x:c>
      <x:c r="J945" s="73" t="n">
        <x:f>INDEX(Drivers!$H$8:$H$13,B945)</x:f>
        <x:v>2</x:v>
      </x:c>
      <x:c r="K945" s="73" t="n">
        <x:f>IF(J945=1,INDEX(TrackMap!$I$8:$I$141,H945),INDEX(TrackMap!$L$8:$L$141,H945))</x:f>
        <x:v>3032</x:v>
      </x:c>
      <x:c r="L945" s="73" t="str">
        <x:f>INDEX(TrackMap!$F$8:$F$141,H945)</x:f>
        <x:v>←</x:v>
      </x:c>
      <x:c r="M945" s="87" t="n">
        <x:f>MAX(0,G945/Control!$B$17)</x:f>
        <x:v>0.7781199133683604</x:v>
      </x:c>
      <x:c r="N945" s="73" t="n">
        <x:f>IF(N939&gt;0,N939,IF(G945&gt;=Control!$B$17,A945,0))</x:f>
        <x:v>0</x:v>
      </x:c>
      <x:c r="O945" s="91" t="n">
        <x:f>IF(N945&gt;0,Control!$B$17+Control!$B$8+1-N945,G945)-B945/100000</x:f>
        <x:v>521.3403219568015</x:v>
      </x:c>
      <x:c r="P945" s="73" t="n">
        <x:f>COUNTIF($O$944:$O$949,"&gt;"&amp;O945)+1</x:f>
        <x:v>6</x:v>
      </x:c>
      <x:c r="Q945" s="83" t="n">
        <x:f>MAX($G$944:$G$949)-G945</x:f>
        <x:v>17.862849818400377</x:v>
      </x:c>
      <x:c r="R945" s="73" t="str">
        <x:f>INDEX(TrackMap!$B$8:$B$141,H945)</x:f>
        <x:v>发车大直道</x:v>
      </x:c>
    </x:row>
    <x:row r="946" ht="20" customHeight="1">
      <x:c r="A946" s="73" t="n">
        <x:v>156</x:v>
      </x:c>
      <x:c r="B946" s="73" t="n">
        <x:v>3</x:v>
      </x:c>
      <x:c r="C946" s="73" t="str">
        <x:f>INDEX(Drivers!$B$8:$B$13,B946)</x:f>
        <x:v>金翼</x:v>
      </x:c>
      <x:c r="D946" s="83" t="n">
        <x:f>G940</x:f>
        <x:v>530.4512072382771</x:v>
      </x:c>
      <x:c r="E946" s="83" t="str">
        <x:f>IF(A946=0,"GRID",IF(D946&gt;=Control!$B$17,"FINISHED",IF(AND(A946&gt;=INDEX(Drivers!$G$8:$G$13,B946),A946&lt;INDEX(Drivers!$G$8:$G$13,B946)+INDEX(Drivers!$J$8:$J$13,B946)),"PIT",IF(MOD(A946+INDEX(Drivers!$F$8:$F$13,B946),Control!$B$11)&lt;Control!$B$13,"BOOST","RACE"))))</x:f>
        <x:v>RACE</x:v>
      </x:c>
      <x:c r="F946" s="83" t="n">
        <x:f>IF(OR(E946="GRID",E946="FINISHED",E946="PIT"),0,MAX(Control!$B$15,(INDEX(Drivers!$D$8:$D$13,B946)+INDEX(Drivers!$E$8:$E$13,B946)*SIN((A946+INDEX(Drivers!$F$8:$F$13,B946)+Control!$B$16)*Control!$B$14))*INDEX(TrackMap!$M$8:$M$141,MOD(INT(D946)-1,Control!$B$7)+1)*IF(E946="BOOST",Control!$B$12,1)))</x:f>
        <x:v>3.270059025348999</x:v>
      </x:c>
      <x:c r="G946" s="83" t="n">
        <x:f>IF(A946=0,D946,MIN(Control!$B$17,D946+F946))</x:f>
        <x:v>533.7212662636261</x:v>
      </x:c>
      <x:c r="H946" s="73" t="n">
        <x:f>MOD(INT(G946)-1,Control!$B$7)+1</x:f>
        <x:v>131</x:v>
      </x:c>
      <x:c r="I946" s="73" t="n">
        <x:f>MIN(Control!$B$6,MAX(1,INT(MAX(0,G946)/Control!$B$7)+1))</x:f>
        <x:v>4</x:v>
      </x:c>
      <x:c r="J946" s="73" t="n">
        <x:f>INDEX(Drivers!$H$8:$H$13,B946)</x:f>
        <x:v>1</x:v>
      </x:c>
      <x:c r="K946" s="73" t="n">
        <x:f>IF(J946=1,INDEX(TrackMap!$I$8:$I$141,H946),INDEX(TrackMap!$L$8:$L$141,H946))</x:f>
        <x:v>3120</x:v>
      </x:c>
      <x:c r="L946" s="73" t="str">
        <x:f>INDEX(TrackMap!$F$8:$F$141,H946)</x:f>
        <x:v>←</x:v>
      </x:c>
      <x:c r="M946" s="87" t="n">
        <x:f>MAX(0,G946/Control!$B$17)</x:f>
        <x:v>0.7965989048710838</x:v>
      </x:c>
      <x:c r="N946" s="73" t="n">
        <x:f>IF(N940&gt;0,N940,IF(G946&gt;=Control!$B$17,A946,0))</x:f>
        <x:v>0</x:v>
      </x:c>
      <x:c r="O946" s="91" t="n">
        <x:f>IF(N946&gt;0,Control!$B$17+Control!$B$8+1-N946,G946)-B946/100000</x:f>
        <x:v>533.7212362636261</x:v>
      </x:c>
      <x:c r="P946" s="73" t="n">
        <x:f>COUNTIF($O$944:$O$949,"&gt;"&amp;O946)+1</x:f>
        <x:v>3</x:v>
      </x:c>
      <x:c r="Q946" s="83" t="n">
        <x:f>MAX($G$944:$G$949)-G946</x:f>
        <x:v>5.481925511575696</x:v>
      </x:c>
      <x:c r="R946" s="73" t="str">
        <x:f>INDEX(TrackMap!$B$8:$B$141,H946)</x:f>
        <x:v>发车大直道</x:v>
      </x:c>
    </x:row>
    <x:row r="947" ht="20" customHeight="1">
      <x:c r="A947" s="73" t="n">
        <x:v>156</x:v>
      </x:c>
      <x:c r="B947" s="73" t="n">
        <x:v>4</x:v>
      </x:c>
      <x:c r="C947" s="73" t="str">
        <x:f>INDEX(Drivers!$B$8:$B$13,B947)</x:f>
        <x:v>紫影</x:v>
      </x:c>
      <x:c r="D947" s="83" t="n">
        <x:f>G941</x:f>
        <x:v>518.8062564842114</x:v>
      </x:c>
      <x:c r="E947" s="83" t="str">
        <x:f>IF(A947=0,"GRID",IF(D947&gt;=Control!$B$17,"FINISHED",IF(AND(A947&gt;=INDEX(Drivers!$G$8:$G$13,B947),A947&lt;INDEX(Drivers!$G$8:$G$13,B947)+INDEX(Drivers!$J$8:$J$13,B947)),"PIT",IF(MOD(A947+INDEX(Drivers!$F$8:$F$13,B947),Control!$B$11)&lt;Control!$B$13,"BOOST","RACE"))))</x:f>
        <x:v>RACE</x:v>
      </x:c>
      <x:c r="F947" s="83" t="n">
        <x:f>IF(OR(E947="GRID",E947="FINISHED",E947="PIT"),0,MAX(Control!$B$15,(INDEX(Drivers!$D$8:$D$13,B947)+INDEX(Drivers!$E$8:$E$13,B947)*SIN((A947+INDEX(Drivers!$F$8:$F$13,B947)+Control!$B$16)*Control!$B$14))*INDEX(TrackMap!$M$8:$M$141,MOD(INT(D947)-1,Control!$B$7)+1)*IF(E947="BOOST",Control!$B$12,1)))</x:f>
        <x:v>4.179927287526352</x:v>
      </x:c>
      <x:c r="G947" s="83" t="n">
        <x:f>IF(A947=0,D947,MIN(Control!$B$17,D947+F947))</x:f>
        <x:v>522.9861837717377</x:v>
      </x:c>
      <x:c r="H947" s="73" t="n">
        <x:f>MOD(INT(G947)-1,Control!$B$7)+1</x:f>
        <x:v>120</x:v>
      </x:c>
      <x:c r="I947" s="73" t="n">
        <x:f>MIN(Control!$B$6,MAX(1,INT(MAX(0,G947)/Control!$B$7)+1))</x:f>
        <x:v>4</x:v>
      </x:c>
      <x:c r="J947" s="73" t="n">
        <x:f>INDEX(Drivers!$H$8:$H$13,B947)</x:f>
        <x:v>2</x:v>
      </x:c>
      <x:c r="K947" s="73" t="n">
        <x:f>IF(J947=1,INDEX(TrackMap!$I$8:$I$141,H947),INDEX(TrackMap!$L$8:$L$141,H947))</x:f>
        <x:v>3031</x:v>
      </x:c>
      <x:c r="L947" s="73" t="str">
        <x:f>INDEX(TrackMap!$F$8:$F$141,H947)</x:f>
        <x:v>←</x:v>
      </x:c>
      <x:c r="M947" s="87" t="n">
        <x:f>MAX(0,G947/Control!$B$17)</x:f>
        <x:v>0.7805763936891608</x:v>
      </x:c>
      <x:c r="N947" s="73" t="n">
        <x:f>IF(N941&gt;0,N941,IF(G947&gt;=Control!$B$17,A947,0))</x:f>
        <x:v>0</x:v>
      </x:c>
      <x:c r="O947" s="91" t="n">
        <x:f>IF(N947&gt;0,Control!$B$17+Control!$B$8+1-N947,G947)-B947/100000</x:f>
        <x:v>522.9861437717377</x:v>
      </x:c>
      <x:c r="P947" s="73" t="n">
        <x:f>COUNTIF($O$944:$O$949,"&gt;"&amp;O947)+1</x:f>
        <x:v>5</x:v>
      </x:c>
      <x:c r="Q947" s="83" t="n">
        <x:f>MAX($G$944:$G$949)-G947</x:f>
        <x:v>16.217008003464116</x:v>
      </x:c>
      <x:c r="R947" s="73" t="str">
        <x:f>INDEX(TrackMap!$B$8:$B$141,H947)</x:f>
        <x:v>发车大直道</x:v>
      </x:c>
    </x:row>
    <x:row r="948" ht="20" customHeight="1">
      <x:c r="A948" s="73" t="n">
        <x:v>156</x:v>
      </x:c>
      <x:c r="B948" s="73" t="n">
        <x:v>5</x:v>
      </x:c>
      <x:c r="C948" s="73" t="str">
        <x:f>INDEX(Drivers!$B$8:$B$13,B948)</x:f>
        <x:v>青锋</x:v>
      </x:c>
      <x:c r="D948" s="83" t="n">
        <x:f>G942</x:f>
        <x:v>529.9810710993065</x:v>
      </x:c>
      <x:c r="E948" s="83" t="str">
        <x:f>IF(A948=0,"GRID",IF(D948&gt;=Control!$B$17,"FINISHED",IF(AND(A948&gt;=INDEX(Drivers!$G$8:$G$13,B948),A948&lt;INDEX(Drivers!$G$8:$G$13,B948)+INDEX(Drivers!$J$8:$J$13,B948)),"PIT",IF(MOD(A948+INDEX(Drivers!$F$8:$F$13,B948),Control!$B$11)&lt;Control!$B$13,"BOOST","RACE"))))</x:f>
        <x:v>RACE</x:v>
      </x:c>
      <x:c r="F948" s="83" t="n">
        <x:f>IF(OR(E948="GRID",E948="FINISHED",E948="PIT"),0,MAX(Control!$B$15,(INDEX(Drivers!$D$8:$D$13,B948)+INDEX(Drivers!$E$8:$E$13,B948)*SIN((A948+INDEX(Drivers!$F$8:$F$13,B948)+Control!$B$16)*Control!$B$14))*INDEX(TrackMap!$M$8:$M$141,MOD(INT(D948)-1,Control!$B$7)+1)*IF(E948="BOOST",Control!$B$12,1)))</x:f>
        <x:v>4.149866626935096</x:v>
      </x:c>
      <x:c r="G948" s="83" t="n">
        <x:f>IF(A948=0,D948,MIN(Control!$B$17,D948+F948))</x:f>
        <x:v>534.1309377262417</x:v>
      </x:c>
      <x:c r="H948" s="73" t="n">
        <x:f>MOD(INT(G948)-1,Control!$B$7)+1</x:f>
        <x:v>132</x:v>
      </x:c>
      <x:c r="I948" s="73" t="n">
        <x:f>MIN(Control!$B$6,MAX(1,INT(MAX(0,G948)/Control!$B$7)+1))</x:f>
        <x:v>4</x:v>
      </x:c>
      <x:c r="J948" s="73" t="n">
        <x:f>INDEX(Drivers!$H$8:$H$13,B948)</x:f>
        <x:v>1</x:v>
      </x:c>
      <x:c r="K948" s="73" t="n">
        <x:f>IF(J948=1,INDEX(TrackMap!$I$8:$I$141,H948),INDEX(TrackMap!$L$8:$L$141,H948))</x:f>
        <x:v>3119</x:v>
      </x:c>
      <x:c r="L948" s="73" t="str">
        <x:f>INDEX(TrackMap!$F$8:$F$141,H948)</x:f>
        <x:v>←</x:v>
      </x:c>
      <x:c r="M948" s="87" t="n">
        <x:f>MAX(0,G948/Control!$B$17)</x:f>
        <x:v>0.797210354815286</x:v>
      </x:c>
      <x:c r="N948" s="73" t="n">
        <x:f>IF(N942&gt;0,N942,IF(G948&gt;=Control!$B$17,A948,0))</x:f>
        <x:v>0</x:v>
      </x:c>
      <x:c r="O948" s="91" t="n">
        <x:f>IF(N948&gt;0,Control!$B$17+Control!$B$8+1-N948,G948)-B948/100000</x:f>
        <x:v>534.1308877262417</x:v>
      </x:c>
      <x:c r="P948" s="73" t="n">
        <x:f>COUNTIF($O$944:$O$949,"&gt;"&amp;O948)+1</x:f>
        <x:v>2</x:v>
      </x:c>
      <x:c r="Q948" s="83" t="n">
        <x:f>MAX($G$944:$G$949)-G948</x:f>
        <x:v>5.07225404896019</x:v>
      </x:c>
      <x:c r="R948" s="73" t="str">
        <x:f>INDEX(TrackMap!$B$8:$B$141,H948)</x:f>
        <x:v>发车大直道</x:v>
      </x:c>
    </x:row>
    <x:row r="949" ht="20" customHeight="1">
      <x:c r="A949" s="73" t="n">
        <x:v>156</x:v>
      </x:c>
      <x:c r="B949" s="73" t="n">
        <x:v>6</x:v>
      </x:c>
      <x:c r="C949" s="73" t="str">
        <x:f>INDEX(Drivers!$B$8:$B$13,B949)</x:f>
        <x:v>玫速</x:v>
      </x:c>
      <x:c r="D949" s="83" t="n">
        <x:f>G943</x:f>
        <x:v>527.9539125728085</x:v>
      </x:c>
      <x:c r="E949" s="83" t="str">
        <x:f>IF(A949=0,"GRID",IF(D949&gt;=Control!$B$17,"FINISHED",IF(AND(A949&gt;=INDEX(Drivers!$G$8:$G$13,B949),A949&lt;INDEX(Drivers!$G$8:$G$13,B949)+INDEX(Drivers!$J$8:$J$13,B949)),"PIT",IF(MOD(A949+INDEX(Drivers!$F$8:$F$13,B949),Control!$B$11)&lt;Control!$B$13,"BOOST","RACE"))))</x:f>
        <x:v>RACE</x:v>
      </x:c>
      <x:c r="F949" s="83" t="n">
        <x:f>IF(OR(E949="GRID",E949="FINISHED",E949="PIT"),0,MAX(Control!$B$15,(INDEX(Drivers!$D$8:$D$13,B949)+INDEX(Drivers!$E$8:$E$13,B949)*SIN((A949+INDEX(Drivers!$F$8:$F$13,B949)+Control!$B$16)*Control!$B$14))*INDEX(TrackMap!$M$8:$M$141,MOD(INT(D949)-1,Control!$B$7)+1)*IF(E949="BOOST",Control!$B$12,1)))</x:f>
        <x:v>3.17623744416603</x:v>
      </x:c>
      <x:c r="G949" s="83" t="n">
        <x:f>IF(A949=0,D949,MIN(Control!$B$17,D949+F949))</x:f>
        <x:v>531.1301500169745</x:v>
      </x:c>
      <x:c r="H949" s="73" t="n">
        <x:f>MOD(INT(G949)-1,Control!$B$7)+1</x:f>
        <x:v>129</x:v>
      </x:c>
      <x:c r="I949" s="73" t="n">
        <x:f>MIN(Control!$B$6,MAX(1,INT(MAX(0,G949)/Control!$B$7)+1))</x:f>
        <x:v>4</x:v>
      </x:c>
      <x:c r="J949" s="73" t="n">
        <x:f>INDEX(Drivers!$H$8:$H$13,B949)</x:f>
        <x:v>2</x:v>
      </x:c>
      <x:c r="K949" s="73" t="n">
        <x:f>IF(J949=1,INDEX(TrackMap!$I$8:$I$141,H949),INDEX(TrackMap!$L$8:$L$141,H949))</x:f>
        <x:v>3022</x:v>
      </x:c>
      <x:c r="L949" s="73" t="str">
        <x:f>INDEX(TrackMap!$F$8:$F$141,H949)</x:f>
        <x:v>←</x:v>
      </x:c>
      <x:c r="M949" s="87" t="n">
        <x:f>MAX(0,G949/Control!$B$17)</x:f>
        <x:v>0.7927315671895142</x:v>
      </x:c>
      <x:c r="N949" s="73" t="n">
        <x:f>IF(N943&gt;0,N943,IF(G949&gt;=Control!$B$17,A949,0))</x:f>
        <x:v>0</x:v>
      </x:c>
      <x:c r="O949" s="91" t="n">
        <x:f>IF(N949&gt;0,Control!$B$17+Control!$B$8+1-N949,G949)-B949/100000</x:f>
        <x:v>531.1300900169746</x:v>
      </x:c>
      <x:c r="P949" s="73" t="n">
        <x:f>COUNTIF($O$944:$O$949,"&gt;"&amp;O949)+1</x:f>
        <x:v>4</x:v>
      </x:c>
      <x:c r="Q949" s="83" t="n">
        <x:f>MAX($G$944:$G$949)-G949</x:f>
        <x:v>8.073041758227305</x:v>
      </x:c>
      <x:c r="R949" s="73" t="str">
        <x:f>INDEX(TrackMap!$B$8:$B$141,H949)</x:f>
        <x:v>发车大直道</x:v>
      </x:c>
    </x:row>
    <x:row r="950" ht="20" customHeight="1">
      <x:c r="A950" s="73" t="n">
        <x:v>157</x:v>
      </x:c>
      <x:c r="B950" s="73" t="n">
        <x:v>1</x:v>
      </x:c>
      <x:c r="C950" s="73" t="str">
        <x:f>INDEX(Drivers!$B$8:$B$13,B950)</x:f>
        <x:v>赤焰</x:v>
      </x:c>
      <x:c r="D950" s="83" t="n">
        <x:f>G944</x:f>
        <x:v>539.2031917752018</x:v>
      </x:c>
      <x:c r="E950" s="83" t="str">
        <x:f>IF(A950=0,"GRID",IF(D950&gt;=Control!$B$17,"FINISHED",IF(AND(A950&gt;=INDEX(Drivers!$G$8:$G$13,B950),A950&lt;INDEX(Drivers!$G$8:$G$13,B950)+INDEX(Drivers!$J$8:$J$13,B950)),"PIT",IF(MOD(A950+INDEX(Drivers!$F$8:$F$13,B950),Control!$B$11)&lt;Control!$B$13,"BOOST","RACE"))))</x:f>
        <x:v>RACE</x:v>
      </x:c>
      <x:c r="F950" s="83" t="n">
        <x:f>IF(OR(E950="GRID",E950="FINISHED",E950="PIT"),0,MAX(Control!$B$15,(INDEX(Drivers!$D$8:$D$13,B950)+INDEX(Drivers!$E$8:$E$13,B950)*SIN((A950+INDEX(Drivers!$F$8:$F$13,B950)+Control!$B$16)*Control!$B$14))*INDEX(TrackMap!$M$8:$M$141,MOD(INT(D950)-1,Control!$B$7)+1)*IF(E950="BOOST",Control!$B$12,1)))</x:f>
        <x:v>3.883344190708692</x:v>
      </x:c>
      <x:c r="G950" s="83" t="n">
        <x:f>IF(A950=0,D950,MIN(Control!$B$17,D950+F950))</x:f>
        <x:v>543.0865359659106</x:v>
      </x:c>
      <x:c r="H950" s="73" t="n">
        <x:f>MOD(INT(G950)-1,Control!$B$7)+1</x:f>
        <x:v>7</x:v>
      </x:c>
      <x:c r="I950" s="73" t="n">
        <x:f>MIN(Control!$B$6,MAX(1,INT(MAX(0,G950)/Control!$B$7)+1))</x:f>
        <x:v>5</x:v>
      </x:c>
      <x:c r="J950" s="73" t="n">
        <x:f>INDEX(Drivers!$H$8:$H$13,B950)</x:f>
        <x:v>1</x:v>
      </x:c>
      <x:c r="K950" s="73" t="n">
        <x:f>IF(J950=1,INDEX(TrackMap!$I$8:$I$141,H950),INDEX(TrackMap!$L$8:$L$141,H950))</x:f>
        <x:v>3110</x:v>
      </x:c>
      <x:c r="L950" s="73" t="str">
        <x:f>INDEX(TrackMap!$F$8:$F$141,H950)</x:f>
        <x:v>←</x:v>
      </x:c>
      <x:c r="M950" s="87" t="n">
        <x:f>MAX(0,G950/Control!$B$17)</x:f>
        <x:v>0.8105769193521053</x:v>
      </x:c>
      <x:c r="N950" s="73" t="n">
        <x:f>IF(N944&gt;0,N944,IF(G950&gt;=Control!$B$17,A950,0))</x:f>
        <x:v>0</x:v>
      </x:c>
      <x:c r="O950" s="91" t="n">
        <x:f>IF(N950&gt;0,Control!$B$17+Control!$B$8+1-N950,G950)-B950/100000</x:f>
        <x:v>543.0865259659106</x:v>
      </x:c>
      <x:c r="P950" s="73" t="n">
        <x:f>COUNTIF($O$950:$O$955,"&gt;"&amp;O950)+1</x:f>
        <x:v>1</x:v>
      </x:c>
      <x:c r="Q950" s="83" t="n">
        <x:f>MAX($G$950:$G$955)-G950</x:f>
        <x:v>0</x:v>
      </x:c>
      <x:c r="R950" s="73" t="str">
        <x:f>INDEX(TrackMap!$B$8:$B$141,H950)</x:f>
        <x:v>发车大直道</x:v>
      </x:c>
    </x:row>
    <x:row r="951" ht="20" customHeight="1">
      <x:c r="A951" s="73" t="n">
        <x:v>157</x:v>
      </x:c>
      <x:c r="B951" s="73" t="n">
        <x:v>2</x:v>
      </x:c>
      <x:c r="C951" s="73" t="str">
        <x:f>INDEX(Drivers!$B$8:$B$13,B951)</x:f>
        <x:v>蓝电</x:v>
      </x:c>
      <x:c r="D951" s="83" t="n">
        <x:f>G945</x:f>
        <x:v>521.3403419568015</x:v>
      </x:c>
      <x:c r="E951" s="83" t="str">
        <x:f>IF(A951=0,"GRID",IF(D951&gt;=Control!$B$17,"FINISHED",IF(AND(A951&gt;=INDEX(Drivers!$G$8:$G$13,B951),A951&lt;INDEX(Drivers!$G$8:$G$13,B951)+INDEX(Drivers!$J$8:$J$13,B951)),"PIT",IF(MOD(A951+INDEX(Drivers!$F$8:$F$13,B951),Control!$B$11)&lt;Control!$B$13,"BOOST","RACE"))))</x:f>
        <x:v>RACE</x:v>
      </x:c>
      <x:c r="F951" s="83" t="n">
        <x:f>IF(OR(E951="GRID",E951="FINISHED",E951="PIT"),0,MAX(Control!$B$15,(INDEX(Drivers!$D$8:$D$13,B951)+INDEX(Drivers!$E$8:$E$13,B951)*SIN((A951+INDEX(Drivers!$F$8:$F$13,B951)+Control!$B$16)*Control!$B$14))*INDEX(TrackMap!$M$8:$M$141,MOD(INT(D951)-1,Control!$B$7)+1)*IF(E951="BOOST",Control!$B$12,1)))</x:f>
        <x:v>3.647921525271577</x:v>
      </x:c>
      <x:c r="G951" s="83" t="n">
        <x:f>IF(A951=0,D951,MIN(Control!$B$17,D951+F951))</x:f>
        <x:v>524.9882634820731</x:v>
      </x:c>
      <x:c r="H951" s="73" t="n">
        <x:f>MOD(INT(G951)-1,Control!$B$7)+1</x:f>
        <x:v>122</x:v>
      </x:c>
      <x:c r="I951" s="73" t="n">
        <x:f>MIN(Control!$B$6,MAX(1,INT(MAX(0,G951)/Control!$B$7)+1))</x:f>
        <x:v>4</x:v>
      </x:c>
      <x:c r="J951" s="73" t="n">
        <x:f>INDEX(Drivers!$H$8:$H$13,B951)</x:f>
        <x:v>2</x:v>
      </x:c>
      <x:c r="K951" s="73" t="n">
        <x:f>IF(J951=1,INDEX(TrackMap!$I$8:$I$141,H951),INDEX(TrackMap!$L$8:$L$141,H951))</x:f>
        <x:v>3029</x:v>
      </x:c>
      <x:c r="L951" s="73" t="str">
        <x:f>INDEX(TrackMap!$F$8:$F$141,H951)</x:f>
        <x:v>←</x:v>
      </x:c>
      <x:c r="M951" s="87" t="n">
        <x:f>MAX(0,G951/Control!$B$17)</x:f>
        <x:v>0.7835645723613031</x:v>
      </x:c>
      <x:c r="N951" s="73" t="n">
        <x:f>IF(N945&gt;0,N945,IF(G951&gt;=Control!$B$17,A951,0))</x:f>
        <x:v>0</x:v>
      </x:c>
      <x:c r="O951" s="91" t="n">
        <x:f>IF(N951&gt;0,Control!$B$17+Control!$B$8+1-N951,G951)-B951/100000</x:f>
        <x:v>524.9882434820731</x:v>
      </x:c>
      <x:c r="P951" s="73" t="n">
        <x:f>COUNTIF($O$950:$O$955,"&gt;"&amp;O951)+1</x:f>
        <x:v>6</x:v>
      </x:c>
      <x:c r="Q951" s="83" t="n">
        <x:f>MAX($G$950:$G$955)-G951</x:f>
        <x:v>18.09827248383749</x:v>
      </x:c>
      <x:c r="R951" s="73" t="str">
        <x:f>INDEX(TrackMap!$B$8:$B$141,H951)</x:f>
        <x:v>发车大直道</x:v>
      </x:c>
    </x:row>
    <x:row r="952" ht="20" customHeight="1">
      <x:c r="A952" s="73" t="n">
        <x:v>157</x:v>
      </x:c>
      <x:c r="B952" s="73" t="n">
        <x:v>3</x:v>
      </x:c>
      <x:c r="C952" s="73" t="str">
        <x:f>INDEX(Drivers!$B$8:$B$13,B952)</x:f>
        <x:v>金翼</x:v>
      </x:c>
      <x:c r="D952" s="83" t="n">
        <x:f>G946</x:f>
        <x:v>533.7212662636261</x:v>
      </x:c>
      <x:c r="E952" s="83" t="str">
        <x:f>IF(A952=0,"GRID",IF(D952&gt;=Control!$B$17,"FINISHED",IF(AND(A952&gt;=INDEX(Drivers!$G$8:$G$13,B952),A952&lt;INDEX(Drivers!$G$8:$G$13,B952)+INDEX(Drivers!$J$8:$J$13,B952)),"PIT",IF(MOD(A952+INDEX(Drivers!$F$8:$F$13,B952),Control!$B$11)&lt;Control!$B$13,"BOOST","RACE"))))</x:f>
        <x:v>RACE</x:v>
      </x:c>
      <x:c r="F952" s="83" t="n">
        <x:f>IF(OR(E952="GRID",E952="FINISHED",E952="PIT"),0,MAX(Control!$B$15,(INDEX(Drivers!$D$8:$D$13,B952)+INDEX(Drivers!$E$8:$E$13,B952)*SIN((A952+INDEX(Drivers!$F$8:$F$13,B952)+Control!$B$16)*Control!$B$14))*INDEX(TrackMap!$M$8:$M$141,MOD(INT(D952)-1,Control!$B$7)+1)*IF(E952="BOOST",Control!$B$12,1)))</x:f>
        <x:v>3.3914553333331963</x:v>
      </x:c>
      <x:c r="G952" s="83" t="n">
        <x:f>IF(A952=0,D952,MIN(Control!$B$17,D952+F952))</x:f>
        <x:v>537.1127215969593</x:v>
      </x:c>
      <x:c r="H952" s="73" t="n">
        <x:f>MOD(INT(G952)-1,Control!$B$7)+1</x:f>
        <x:v>1</x:v>
      </x:c>
      <x:c r="I952" s="73" t="n">
        <x:f>MIN(Control!$B$6,MAX(1,INT(MAX(0,G952)/Control!$B$7)+1))</x:f>
        <x:v>5</x:v>
      </x:c>
      <x:c r="J952" s="73" t="n">
        <x:f>INDEX(Drivers!$H$8:$H$13,B952)</x:f>
        <x:v>1</x:v>
      </x:c>
      <x:c r="K952" s="73" t="n">
        <x:f>IF(J952=1,INDEX(TrackMap!$I$8:$I$141,H952),INDEX(TrackMap!$L$8:$L$141,H952))</x:f>
        <x:v>3116</x:v>
      </x:c>
      <x:c r="L952" s="73" t="str">
        <x:f>INDEX(TrackMap!$F$8:$F$141,H952)</x:f>
        <x:v>←</x:v>
      </x:c>
      <x:c r="M952" s="87" t="n">
        <x:f>MAX(0,G952/Control!$B$17)</x:f>
        <x:v>0.8016607785029244</x:v>
      </x:c>
      <x:c r="N952" s="73" t="n">
        <x:f>IF(N946&gt;0,N946,IF(G952&gt;=Control!$B$17,A952,0))</x:f>
        <x:v>0</x:v>
      </x:c>
      <x:c r="O952" s="91" t="n">
        <x:f>IF(N952&gt;0,Control!$B$17+Control!$B$8+1-N952,G952)-B952/100000</x:f>
        <x:v>537.1126915969593</x:v>
      </x:c>
      <x:c r="P952" s="73" t="n">
        <x:f>COUNTIF($O$950:$O$955,"&gt;"&amp;O952)+1</x:f>
        <x:v>3</x:v>
      </x:c>
      <x:c r="Q952" s="83" t="n">
        <x:f>MAX($G$950:$G$955)-G952</x:f>
        <x:v>5.973814368951253</x:v>
      </x:c>
      <x:c r="R952" s="73" t="str">
        <x:f>INDEX(TrackMap!$B$8:$B$141,H952)</x:f>
        <x:v>发车大直道</x:v>
      </x:c>
    </x:row>
    <x:row r="953" ht="20" customHeight="1">
      <x:c r="A953" s="73" t="n">
        <x:v>157</x:v>
      </x:c>
      <x:c r="B953" s="73" t="n">
        <x:v>4</x:v>
      </x:c>
      <x:c r="C953" s="73" t="str">
        <x:f>INDEX(Drivers!$B$8:$B$13,B953)</x:f>
        <x:v>紫影</x:v>
      </x:c>
      <x:c r="D953" s="83" t="n">
        <x:f>G947</x:f>
        <x:v>522.9861837717377</x:v>
      </x:c>
      <x:c r="E953" s="83" t="str">
        <x:f>IF(A953=0,"GRID",IF(D953&gt;=Control!$B$17,"FINISHED",IF(AND(A953&gt;=INDEX(Drivers!$G$8:$G$13,B953),A953&lt;INDEX(Drivers!$G$8:$G$13,B953)+INDEX(Drivers!$J$8:$J$13,B953)),"PIT",IF(MOD(A953+INDEX(Drivers!$F$8:$F$13,B953),Control!$B$11)&lt;Control!$B$13,"BOOST","RACE"))))</x:f>
        <x:v>RACE</x:v>
      </x:c>
      <x:c r="F953" s="83" t="n">
        <x:f>IF(OR(E953="GRID",E953="FINISHED",E953="PIT"),0,MAX(Control!$B$15,(INDEX(Drivers!$D$8:$D$13,B953)+INDEX(Drivers!$E$8:$E$13,B953)*SIN((A953+INDEX(Drivers!$F$8:$F$13,B953)+Control!$B$16)*Control!$B$14))*INDEX(TrackMap!$M$8:$M$141,MOD(INT(D953)-1,Control!$B$7)+1)*IF(E953="BOOST",Control!$B$12,1)))</x:f>
        <x:v>4.144003052738091</x:v>
      </x:c>
      <x:c r="G953" s="83" t="n">
        <x:f>IF(A953=0,D953,MIN(Control!$B$17,D953+F953))</x:f>
        <x:v>527.1301868244758</x:v>
      </x:c>
      <x:c r="H953" s="73" t="n">
        <x:f>MOD(INT(G953)-1,Control!$B$7)+1</x:f>
        <x:v>125</x:v>
      </x:c>
      <x:c r="I953" s="73" t="n">
        <x:f>MIN(Control!$B$6,MAX(1,INT(MAX(0,G953)/Control!$B$7)+1))</x:f>
        <x:v>4</x:v>
      </x:c>
      <x:c r="J953" s="73" t="n">
        <x:f>INDEX(Drivers!$H$8:$H$13,B953)</x:f>
        <x:v>2</x:v>
      </x:c>
      <x:c r="K953" s="73" t="n">
        <x:f>IF(J953=1,INDEX(TrackMap!$I$8:$I$141,H953),INDEX(TrackMap!$L$8:$L$141,H953))</x:f>
        <x:v>3026</x:v>
      </x:c>
      <x:c r="L953" s="73" t="str">
        <x:f>INDEX(TrackMap!$F$8:$F$141,H953)</x:f>
        <x:v>←</x:v>
      </x:c>
      <x:c r="M953" s="87" t="n">
        <x:f>MAX(0,G953/Control!$B$17)</x:f>
        <x:v>0.786761472872352</x:v>
      </x:c>
      <x:c r="N953" s="73" t="n">
        <x:f>IF(N947&gt;0,N947,IF(G953&gt;=Control!$B$17,A953,0))</x:f>
        <x:v>0</x:v>
      </x:c>
      <x:c r="O953" s="91" t="n">
        <x:f>IF(N953&gt;0,Control!$B$17+Control!$B$8+1-N953,G953)-B953/100000</x:f>
        <x:v>527.1301468244758</x:v>
      </x:c>
      <x:c r="P953" s="73" t="n">
        <x:f>COUNTIF($O$950:$O$955,"&gt;"&amp;O953)+1</x:f>
        <x:v>5</x:v>
      </x:c>
      <x:c r="Q953" s="83" t="n">
        <x:f>MAX($G$950:$G$955)-G953</x:f>
        <x:v>15.956349141434771</x:v>
      </x:c>
      <x:c r="R953" s="73" t="str">
        <x:f>INDEX(TrackMap!$B$8:$B$141,H953)</x:f>
        <x:v>发车大直道</x:v>
      </x:c>
    </x:row>
    <x:row r="954" ht="20" customHeight="1">
      <x:c r="A954" s="73" t="n">
        <x:v>157</x:v>
      </x:c>
      <x:c r="B954" s="73" t="n">
        <x:v>5</x:v>
      </x:c>
      <x:c r="C954" s="73" t="str">
        <x:f>INDEX(Drivers!$B$8:$B$13,B954)</x:f>
        <x:v>青锋</x:v>
      </x:c>
      <x:c r="D954" s="83" t="n">
        <x:f>G948</x:f>
        <x:v>534.1309377262417</x:v>
      </x:c>
      <x:c r="E954" s="83" t="str">
        <x:f>IF(A954=0,"GRID",IF(D954&gt;=Control!$B$17,"FINISHED",IF(AND(A954&gt;=INDEX(Drivers!$G$8:$G$13,B954),A954&lt;INDEX(Drivers!$G$8:$G$13,B954)+INDEX(Drivers!$J$8:$J$13,B954)),"PIT",IF(MOD(A954+INDEX(Drivers!$F$8:$F$13,B954),Control!$B$11)&lt;Control!$B$13,"BOOST","RACE"))))</x:f>
        <x:v>RACE</x:v>
      </x:c>
      <x:c r="F954" s="83" t="n">
        <x:f>IF(OR(E954="GRID",E954="FINISHED",E954="PIT"),0,MAX(Control!$B$15,(INDEX(Drivers!$D$8:$D$13,B954)+INDEX(Drivers!$E$8:$E$13,B954)*SIN((A954+INDEX(Drivers!$F$8:$F$13,B954)+Control!$B$16)*Control!$B$14))*INDEX(TrackMap!$M$8:$M$141,MOD(INT(D954)-1,Control!$B$7)+1)*IF(E954="BOOST",Control!$B$12,1)))</x:f>
        <x:v>4.118944501697001</x:v>
      </x:c>
      <x:c r="G954" s="83" t="n">
        <x:f>IF(A954=0,D954,MIN(Control!$B$17,D954+F954))</x:f>
        <x:v>538.2498822279387</x:v>
      </x:c>
      <x:c r="H954" s="73" t="n">
        <x:f>MOD(INT(G954)-1,Control!$B$7)+1</x:f>
        <x:v>2</x:v>
      </x:c>
      <x:c r="I954" s="73" t="n">
        <x:f>MIN(Control!$B$6,MAX(1,INT(MAX(0,G954)/Control!$B$7)+1))</x:f>
        <x:v>5</x:v>
      </x:c>
      <x:c r="J954" s="73" t="n">
        <x:f>INDEX(Drivers!$H$8:$H$13,B954)</x:f>
        <x:v>1</x:v>
      </x:c>
      <x:c r="K954" s="73" t="n">
        <x:f>IF(J954=1,INDEX(TrackMap!$I$8:$I$141,H954),INDEX(TrackMap!$L$8:$L$141,H954))</x:f>
        <x:v>3115</x:v>
      </x:c>
      <x:c r="L954" s="73" t="str">
        <x:f>INDEX(TrackMap!$F$8:$F$141,H954)</x:f>
        <x:v>←</x:v>
      </x:c>
      <x:c r="M954" s="87" t="n">
        <x:f>MAX(0,G954/Control!$B$17)</x:f>
        <x:v>0.8033580331760278</x:v>
      </x:c>
      <x:c r="N954" s="73" t="n">
        <x:f>IF(N948&gt;0,N948,IF(G954&gt;=Control!$B$17,A954,0))</x:f>
        <x:v>0</x:v>
      </x:c>
      <x:c r="O954" s="91" t="n">
        <x:f>IF(N954&gt;0,Control!$B$17+Control!$B$8+1-N954,G954)-B954/100000</x:f>
        <x:v>538.2498322279387</x:v>
      </x:c>
      <x:c r="P954" s="73" t="n">
        <x:f>COUNTIF($O$950:$O$955,"&gt;"&amp;O954)+1</x:f>
        <x:v>2</x:v>
      </x:c>
      <x:c r="Q954" s="83" t="n">
        <x:f>MAX($G$950:$G$955)-G954</x:f>
        <x:v>4.836653737971915</x:v>
      </x:c>
      <x:c r="R954" s="73" t="str">
        <x:f>INDEX(TrackMap!$B$8:$B$141,H954)</x:f>
        <x:v>发车大直道</x:v>
      </x:c>
    </x:row>
    <x:row r="955" ht="20" customHeight="1">
      <x:c r="A955" s="73" t="n">
        <x:v>157</x:v>
      </x:c>
      <x:c r="B955" s="73" t="n">
        <x:v>6</x:v>
      </x:c>
      <x:c r="C955" s="73" t="str">
        <x:f>INDEX(Drivers!$B$8:$B$13,B955)</x:f>
        <x:v>玫速</x:v>
      </x:c>
      <x:c r="D955" s="83" t="n">
        <x:f>G949</x:f>
        <x:v>531.1301500169745</x:v>
      </x:c>
      <x:c r="E955" s="83" t="str">
        <x:f>IF(A955=0,"GRID",IF(D955&gt;=Control!$B$17,"FINISHED",IF(AND(A955&gt;=INDEX(Drivers!$G$8:$G$13,B955),A955&lt;INDEX(Drivers!$G$8:$G$13,B955)+INDEX(Drivers!$J$8:$J$13,B955)),"PIT",IF(MOD(A955+INDEX(Drivers!$F$8:$F$13,B955),Control!$B$11)&lt;Control!$B$13,"BOOST","RACE"))))</x:f>
        <x:v>RACE</x:v>
      </x:c>
      <x:c r="F955" s="83" t="n">
        <x:f>IF(OR(E955="GRID",E955="FINISHED",E955="PIT"),0,MAX(Control!$B$15,(INDEX(Drivers!$D$8:$D$13,B955)+INDEX(Drivers!$E$8:$E$13,B955)*SIN((A955+INDEX(Drivers!$F$8:$F$13,B955)+Control!$B$16)*Control!$B$14))*INDEX(TrackMap!$M$8:$M$141,MOD(INT(D955)-1,Control!$B$7)+1)*IF(E955="BOOST",Control!$B$12,1)))</x:f>
        <x:v>3.0924710020629007</x:v>
      </x:c>
      <x:c r="G955" s="83" t="n">
        <x:f>IF(A955=0,D955,MIN(Control!$B$17,D955+F955))</x:f>
        <x:v>534.2226210190374</x:v>
      </x:c>
      <x:c r="H955" s="73" t="n">
        <x:f>MOD(INT(G955)-1,Control!$B$7)+1</x:f>
        <x:v>132</x:v>
      </x:c>
      <x:c r="I955" s="73" t="n">
        <x:f>MIN(Control!$B$6,MAX(1,INT(MAX(0,G955)/Control!$B$7)+1))</x:f>
        <x:v>4</x:v>
      </x:c>
      <x:c r="J955" s="73" t="n">
        <x:f>INDEX(Drivers!$H$8:$H$13,B955)</x:f>
        <x:v>2</x:v>
      </x:c>
      <x:c r="K955" s="73" t="n">
        <x:f>IF(J955=1,INDEX(TrackMap!$I$8:$I$141,H955),INDEX(TrackMap!$L$8:$L$141,H955))</x:f>
        <x:v>3019</x:v>
      </x:c>
      <x:c r="L955" s="73" t="str">
        <x:f>INDEX(TrackMap!$F$8:$F$141,H955)</x:f>
        <x:v>←</x:v>
      </x:c>
      <x:c r="M955" s="87" t="n">
        <x:f>MAX(0,G955/Control!$B$17)</x:f>
        <x:v>0.7973471955508021</x:v>
      </x:c>
      <x:c r="N955" s="73" t="n">
        <x:f>IF(N949&gt;0,N949,IF(G955&gt;=Control!$B$17,A955,0))</x:f>
        <x:v>0</x:v>
      </x:c>
      <x:c r="O955" s="91" t="n">
        <x:f>IF(N955&gt;0,Control!$B$17+Control!$B$8+1-N955,G955)-B955/100000</x:f>
        <x:v>534.2225610190375</x:v>
      </x:c>
      <x:c r="P955" s="73" t="n">
        <x:f>COUNTIF($O$950:$O$955,"&gt;"&amp;O955)+1</x:f>
        <x:v>4</x:v>
      </x:c>
      <x:c r="Q955" s="83" t="n">
        <x:f>MAX($G$950:$G$955)-G955</x:f>
        <x:v>8.863914946873138</x:v>
      </x:c>
      <x:c r="R955" s="73" t="str">
        <x:f>INDEX(TrackMap!$B$8:$B$141,H955)</x:f>
        <x:v>发车大直道</x:v>
      </x:c>
    </x:row>
    <x:row r="956" ht="20" customHeight="1">
      <x:c r="A956" s="73" t="n">
        <x:v>158</x:v>
      </x:c>
      <x:c r="B956" s="73" t="n">
        <x:v>1</x:v>
      </x:c>
      <x:c r="C956" s="73" t="str">
        <x:f>INDEX(Drivers!$B$8:$B$13,B956)</x:f>
        <x:v>赤焰</x:v>
      </x:c>
      <x:c r="D956" s="83" t="n">
        <x:f>G950</x:f>
        <x:v>543.0865359659106</x:v>
      </x:c>
      <x:c r="E956" s="83" t="str">
        <x:f>IF(A956=0,"GRID",IF(D956&gt;=Control!$B$17,"FINISHED",IF(AND(A956&gt;=INDEX(Drivers!$G$8:$G$13,B956),A956&lt;INDEX(Drivers!$G$8:$G$13,B956)+INDEX(Drivers!$J$8:$J$13,B956)),"PIT",IF(MOD(A956+INDEX(Drivers!$F$8:$F$13,B956),Control!$B$11)&lt;Control!$B$13,"BOOST","RACE"))))</x:f>
        <x:v>RACE</x:v>
      </x:c>
      <x:c r="F956" s="83" t="n">
        <x:f>IF(OR(E956="GRID",E956="FINISHED",E956="PIT"),0,MAX(Control!$B$15,(INDEX(Drivers!$D$8:$D$13,B956)+INDEX(Drivers!$E$8:$E$13,B956)*SIN((A956+INDEX(Drivers!$F$8:$F$13,B956)+Control!$B$16)*Control!$B$14))*INDEX(TrackMap!$M$8:$M$141,MOD(INT(D956)-1,Control!$B$7)+1)*IF(E956="BOOST",Control!$B$12,1)))</x:f>
        <x:v>4.047654532795575</x:v>
      </x:c>
      <x:c r="G956" s="83" t="n">
        <x:f>IF(A956=0,D956,MIN(Control!$B$17,D956+F956))</x:f>
        <x:v>547.1341904987062</x:v>
      </x:c>
      <x:c r="H956" s="73" t="n">
        <x:f>MOD(INT(G956)-1,Control!$B$7)+1</x:f>
        <x:v>11</x:v>
      </x:c>
      <x:c r="I956" s="73" t="n">
        <x:f>MIN(Control!$B$6,MAX(1,INT(MAX(0,G956)/Control!$B$7)+1))</x:f>
        <x:v>5</x:v>
      </x:c>
      <x:c r="J956" s="73" t="n">
        <x:f>INDEX(Drivers!$H$8:$H$13,B956)</x:f>
        <x:v>1</x:v>
      </x:c>
      <x:c r="K956" s="73" t="n">
        <x:f>IF(J956=1,INDEX(TrackMap!$I$8:$I$141,H956),INDEX(TrackMap!$L$8:$L$141,H956))</x:f>
        <x:v>3106</x:v>
      </x:c>
      <x:c r="L956" s="73" t="str">
        <x:f>INDEX(TrackMap!$F$8:$F$141,H956)</x:f>
        <x:v>←</x:v>
      </x:c>
      <x:c r="M956" s="87" t="n">
        <x:f>MAX(0,G956/Control!$B$17)</x:f>
        <x:v>0.8166181947741883</x:v>
      </x:c>
      <x:c r="N956" s="73" t="n">
        <x:f>IF(N950&gt;0,N950,IF(G956&gt;=Control!$B$17,A956,0))</x:f>
        <x:v>0</x:v>
      </x:c>
      <x:c r="O956" s="91" t="n">
        <x:f>IF(N956&gt;0,Control!$B$17+Control!$B$8+1-N956,G956)-B956/100000</x:f>
        <x:v>547.1341804987062</x:v>
      </x:c>
      <x:c r="P956" s="73" t="n">
        <x:f>COUNTIF($O$956:$O$961,"&gt;"&amp;O956)+1</x:f>
        <x:v>1</x:v>
      </x:c>
      <x:c r="Q956" s="83" t="n">
        <x:f>MAX($G$956:$G$961)-G956</x:f>
        <x:v>0</x:v>
      </x:c>
      <x:c r="R956" s="73" t="str">
        <x:f>INDEX(TrackMap!$B$8:$B$141,H956)</x:f>
        <x:v>发车大直道</x:v>
      </x:c>
    </x:row>
    <x:row r="957" ht="20" customHeight="1">
      <x:c r="A957" s="73" t="n">
        <x:v>158</x:v>
      </x:c>
      <x:c r="B957" s="73" t="n">
        <x:v>2</x:v>
      </x:c>
      <x:c r="C957" s="73" t="str">
        <x:f>INDEX(Drivers!$B$8:$B$13,B957)</x:f>
        <x:v>蓝电</x:v>
      </x:c>
      <x:c r="D957" s="83" t="n">
        <x:f>G951</x:f>
        <x:v>524.9882634820731</x:v>
      </x:c>
      <x:c r="E957" s="83" t="str">
        <x:f>IF(A957=0,"GRID",IF(D957&gt;=Control!$B$17,"FINISHED",IF(AND(A957&gt;=INDEX(Drivers!$G$8:$G$13,B957),A957&lt;INDEX(Drivers!$G$8:$G$13,B957)+INDEX(Drivers!$J$8:$J$13,B957)),"PIT",IF(MOD(A957+INDEX(Drivers!$F$8:$F$13,B957),Control!$B$11)&lt;Control!$B$13,"BOOST","RACE"))))</x:f>
        <x:v>RACE</x:v>
      </x:c>
      <x:c r="F957" s="83" t="n">
        <x:f>IF(OR(E957="GRID",E957="FINISHED",E957="PIT"),0,MAX(Control!$B$15,(INDEX(Drivers!$D$8:$D$13,B957)+INDEX(Drivers!$E$8:$E$13,B957)*SIN((A957+INDEX(Drivers!$F$8:$F$13,B957)+Control!$B$16)*Control!$B$14))*INDEX(TrackMap!$M$8:$M$141,MOD(INT(D957)-1,Control!$B$7)+1)*IF(E957="BOOST",Control!$B$12,1)))</x:f>
        <x:v>3.427750529295273</x:v>
      </x:c>
      <x:c r="G957" s="83" t="n">
        <x:f>IF(A957=0,D957,MIN(Control!$B$17,D957+F957))</x:f>
        <x:v>528.4160140113684</x:v>
      </x:c>
      <x:c r="H957" s="73" t="n">
        <x:f>MOD(INT(G957)-1,Control!$B$7)+1</x:f>
        <x:v>126</x:v>
      </x:c>
      <x:c r="I957" s="73" t="n">
        <x:f>MIN(Control!$B$6,MAX(1,INT(MAX(0,G957)/Control!$B$7)+1))</x:f>
        <x:v>4</x:v>
      </x:c>
      <x:c r="J957" s="73" t="n">
        <x:f>INDEX(Drivers!$H$8:$H$13,B957)</x:f>
        <x:v>2</x:v>
      </x:c>
      <x:c r="K957" s="73" t="n">
        <x:f>IF(J957=1,INDEX(TrackMap!$I$8:$I$141,H957),INDEX(TrackMap!$L$8:$L$141,H957))</x:f>
        <x:v>3025</x:v>
      </x:c>
      <x:c r="L957" s="73" t="str">
        <x:f>INDEX(TrackMap!$F$8:$F$141,H957)</x:f>
        <x:v>←</x:v>
      </x:c>
      <x:c r="M957" s="87" t="n">
        <x:f>MAX(0,G957/Control!$B$17)</x:f>
        <x:v>0.7886806179274155</x:v>
      </x:c>
      <x:c r="N957" s="73" t="n">
        <x:f>IF(N951&gt;0,N951,IF(G957&gt;=Control!$B$17,A957,0))</x:f>
        <x:v>0</x:v>
      </x:c>
      <x:c r="O957" s="91" t="n">
        <x:f>IF(N957&gt;0,Control!$B$17+Control!$B$8+1-N957,G957)-B957/100000</x:f>
        <x:v>528.4159940113684</x:v>
      </x:c>
      <x:c r="P957" s="73" t="n">
        <x:f>COUNTIF($O$956:$O$961,"&gt;"&amp;O957)+1</x:f>
        <x:v>6</x:v>
      </x:c>
      <x:c r="Q957" s="83" t="n">
        <x:f>MAX($G$956:$G$961)-G957</x:f>
        <x:v>18.718176487337814</x:v>
      </x:c>
      <x:c r="R957" s="73" t="str">
        <x:f>INDEX(TrackMap!$B$8:$B$141,H957)</x:f>
        <x:v>发车大直道</x:v>
      </x:c>
    </x:row>
    <x:row r="958" ht="20" customHeight="1">
      <x:c r="A958" s="73" t="n">
        <x:v>158</x:v>
      </x:c>
      <x:c r="B958" s="73" t="n">
        <x:v>3</x:v>
      </x:c>
      <x:c r="C958" s="73" t="str">
        <x:f>INDEX(Drivers!$B$8:$B$13,B958)</x:f>
        <x:v>金翼</x:v>
      </x:c>
      <x:c r="D958" s="83" t="n">
        <x:f>G952</x:f>
        <x:v>537.1127215969593</x:v>
      </x:c>
      <x:c r="E958" s="83" t="str">
        <x:f>IF(A958=0,"GRID",IF(D958&gt;=Control!$B$17,"FINISHED",IF(AND(A958&gt;=INDEX(Drivers!$G$8:$G$13,B958),A958&lt;INDEX(Drivers!$G$8:$G$13,B958)+INDEX(Drivers!$J$8:$J$13,B958)),"PIT",IF(MOD(A958+INDEX(Drivers!$F$8:$F$13,B958),Control!$B$11)&lt;Control!$B$13,"BOOST","RACE"))))</x:f>
        <x:v>RACE</x:v>
      </x:c>
      <x:c r="F958" s="83" t="n">
        <x:f>IF(OR(E958="GRID",E958="FINISHED",E958="PIT"),0,MAX(Control!$B$15,(INDEX(Drivers!$D$8:$D$13,B958)+INDEX(Drivers!$E$8:$E$13,B958)*SIN((A958+INDEX(Drivers!$F$8:$F$13,B958)+Control!$B$16)*Control!$B$14))*INDEX(TrackMap!$M$8:$M$141,MOD(INT(D958)-1,Control!$B$7)+1)*IF(E958="BOOST",Control!$B$12,1)))</x:f>
        <x:v>2.7725971373117746</x:v>
      </x:c>
      <x:c r="G958" s="83" t="n">
        <x:f>IF(A958=0,D958,MIN(Control!$B$17,D958+F958))</x:f>
        <x:v>539.8853187342711</x:v>
      </x:c>
      <x:c r="H958" s="73" t="n">
        <x:f>MOD(INT(G958)-1,Control!$B$7)+1</x:f>
        <x:v>3</x:v>
      </x:c>
      <x:c r="I958" s="73" t="n">
        <x:f>MIN(Control!$B$6,MAX(1,INT(MAX(0,G958)/Control!$B$7)+1))</x:f>
        <x:v>5</x:v>
      </x:c>
      <x:c r="J958" s="73" t="n">
        <x:f>INDEX(Drivers!$H$8:$H$13,B958)</x:f>
        <x:v>1</x:v>
      </x:c>
      <x:c r="K958" s="73" t="n">
        <x:f>IF(J958=1,INDEX(TrackMap!$I$8:$I$141,H958),INDEX(TrackMap!$L$8:$L$141,H958))</x:f>
        <x:v>3114</x:v>
      </x:c>
      <x:c r="L958" s="73" t="str">
        <x:f>INDEX(TrackMap!$F$8:$F$141,H958)</x:f>
        <x:v>←</x:v>
      </x:c>
      <x:c r="M958" s="87" t="n">
        <x:f>MAX(0,G958/Control!$B$17)</x:f>
        <x:v>0.8057989831854793</x:v>
      </x:c>
      <x:c r="N958" s="73" t="n">
        <x:f>IF(N952&gt;0,N952,IF(G958&gt;=Control!$B$17,A958,0))</x:f>
        <x:v>0</x:v>
      </x:c>
      <x:c r="O958" s="91" t="n">
        <x:f>IF(N958&gt;0,Control!$B$17+Control!$B$8+1-N958,G958)-B958/100000</x:f>
        <x:v>539.8852887342711</x:v>
      </x:c>
      <x:c r="P958" s="73" t="n">
        <x:f>COUNTIF($O$956:$O$961,"&gt;"&amp;O958)+1</x:f>
        <x:v>3</x:v>
      </x:c>
      <x:c r="Q958" s="83" t="n">
        <x:f>MAX($G$956:$G$961)-G958</x:f>
        <x:v>7.24887176443508</x:v>
      </x:c>
      <x:c r="R958" s="73" t="str">
        <x:f>INDEX(TrackMap!$B$8:$B$141,H958)</x:f>
        <x:v>发车大直道</x:v>
      </x:c>
    </x:row>
    <x:row r="959" ht="20" customHeight="1">
      <x:c r="A959" s="73" t="n">
        <x:v>158</x:v>
      </x:c>
      <x:c r="B959" s="73" t="n">
        <x:v>4</x:v>
      </x:c>
      <x:c r="C959" s="73" t="str">
        <x:f>INDEX(Drivers!$B$8:$B$13,B959)</x:f>
        <x:v>紫影</x:v>
      </x:c>
      <x:c r="D959" s="83" t="n">
        <x:f>G953</x:f>
        <x:v>527.1301868244758</x:v>
      </x:c>
      <x:c r="E959" s="83" t="str">
        <x:f>IF(A959=0,"GRID",IF(D959&gt;=Control!$B$17,"FINISHED",IF(AND(A959&gt;=INDEX(Drivers!$G$8:$G$13,B959),A959&lt;INDEX(Drivers!$G$8:$G$13,B959)+INDEX(Drivers!$J$8:$J$13,B959)),"PIT",IF(MOD(A959+INDEX(Drivers!$F$8:$F$13,B959),Control!$B$11)&lt;Control!$B$13,"BOOST","RACE"))))</x:f>
        <x:v>RACE</x:v>
      </x:c>
      <x:c r="F959" s="83" t="n">
        <x:f>IF(OR(E959="GRID",E959="FINISHED",E959="PIT"),0,MAX(Control!$B$15,(INDEX(Drivers!$D$8:$D$13,B959)+INDEX(Drivers!$E$8:$E$13,B959)*SIN((A959+INDEX(Drivers!$F$8:$F$13,B959)+Control!$B$16)*Control!$B$14))*INDEX(TrackMap!$M$8:$M$141,MOD(INT(D959)-1,Control!$B$7)+1)*IF(E959="BOOST",Control!$B$12,1)))</x:f>
        <x:v>4.034450556795415</x:v>
      </x:c>
      <x:c r="G959" s="83" t="n">
        <x:f>IF(A959=0,D959,MIN(Control!$B$17,D959+F959))</x:f>
        <x:v>531.1646373812712</x:v>
      </x:c>
      <x:c r="H959" s="73" t="n">
        <x:f>MOD(INT(G959)-1,Control!$B$7)+1</x:f>
        <x:v>129</x:v>
      </x:c>
      <x:c r="I959" s="73" t="n">
        <x:f>MIN(Control!$B$6,MAX(1,INT(MAX(0,G959)/Control!$B$7)+1))</x:f>
        <x:v>4</x:v>
      </x:c>
      <x:c r="J959" s="73" t="n">
        <x:f>INDEX(Drivers!$H$8:$H$13,B959)</x:f>
        <x:v>2</x:v>
      </x:c>
      <x:c r="K959" s="73" t="n">
        <x:f>IF(J959=1,INDEX(TrackMap!$I$8:$I$141,H959),INDEX(TrackMap!$L$8:$L$141,H959))</x:f>
        <x:v>3022</x:v>
      </x:c>
      <x:c r="L959" s="73" t="str">
        <x:f>INDEX(TrackMap!$F$8:$F$141,H959)</x:f>
        <x:v>←</x:v>
      </x:c>
      <x:c r="M959" s="87" t="n">
        <x:f>MAX(0,G959/Control!$B$17)</x:f>
        <x:v>0.7927830408675689</x:v>
      </x:c>
      <x:c r="N959" s="73" t="n">
        <x:f>IF(N953&gt;0,N953,IF(G959&gt;=Control!$B$17,A959,0))</x:f>
        <x:v>0</x:v>
      </x:c>
      <x:c r="O959" s="91" t="n">
        <x:f>IF(N959&gt;0,Control!$B$17+Control!$B$8+1-N959,G959)-B959/100000</x:f>
        <x:v>531.1645973812712</x:v>
      </x:c>
      <x:c r="P959" s="73" t="n">
        <x:f>COUNTIF($O$956:$O$961,"&gt;"&amp;O959)+1</x:f>
        <x:v>5</x:v>
      </x:c>
      <x:c r="Q959" s="83" t="n">
        <x:f>MAX($G$956:$G$961)-G959</x:f>
        <x:v>15.969553117434998</x:v>
      </x:c>
      <x:c r="R959" s="73" t="str">
        <x:f>INDEX(TrackMap!$B$8:$B$141,H959)</x:f>
        <x:v>发车大直道</x:v>
      </x:c>
    </x:row>
    <x:row r="960" ht="20" customHeight="1">
      <x:c r="A960" s="73" t="n">
        <x:v>158</x:v>
      </x:c>
      <x:c r="B960" s="73" t="n">
        <x:v>5</x:v>
      </x:c>
      <x:c r="C960" s="73" t="str">
        <x:f>INDEX(Drivers!$B$8:$B$13,B960)</x:f>
        <x:v>青锋</x:v>
      </x:c>
      <x:c r="D960" s="83" t="n">
        <x:f>G954</x:f>
        <x:v>538.2498822279387</x:v>
      </x:c>
      <x:c r="E960" s="83" t="str">
        <x:f>IF(A960=0,"GRID",IF(D960&gt;=Control!$B$17,"FINISHED",IF(AND(A960&gt;=INDEX(Drivers!$G$8:$G$13,B960),A960&lt;INDEX(Drivers!$G$8:$G$13,B960)+INDEX(Drivers!$J$8:$J$13,B960)),"PIT",IF(MOD(A960+INDEX(Drivers!$F$8:$F$13,B960),Control!$B$11)&lt;Control!$B$13,"BOOST","RACE"))))</x:f>
        <x:v>RACE</x:v>
      </x:c>
      <x:c r="F960" s="83" t="n">
        <x:f>IF(OR(E960="GRID",E960="FINISHED",E960="PIT"),0,MAX(Control!$B$15,(INDEX(Drivers!$D$8:$D$13,B960)+INDEX(Drivers!$E$8:$E$13,B960)*SIN((A960+INDEX(Drivers!$F$8:$F$13,B960)+Control!$B$16)*Control!$B$14))*INDEX(TrackMap!$M$8:$M$141,MOD(INT(D960)-1,Control!$B$7)+1)*IF(E960="BOOST",Control!$B$12,1)))</x:f>
        <x:v>4.021846031896564</x:v>
      </x:c>
      <x:c r="G960" s="83" t="n">
        <x:f>IF(A960=0,D960,MIN(Control!$B$17,D960+F960))</x:f>
        <x:v>542.2717282598352</x:v>
      </x:c>
      <x:c r="H960" s="73" t="n">
        <x:f>MOD(INT(G960)-1,Control!$B$7)+1</x:f>
        <x:v>6</x:v>
      </x:c>
      <x:c r="I960" s="73" t="n">
        <x:f>MIN(Control!$B$6,MAX(1,INT(MAX(0,G960)/Control!$B$7)+1))</x:f>
        <x:v>5</x:v>
      </x:c>
      <x:c r="J960" s="73" t="n">
        <x:f>INDEX(Drivers!$H$8:$H$13,B960)</x:f>
        <x:v>1</x:v>
      </x:c>
      <x:c r="K960" s="73" t="n">
        <x:f>IF(J960=1,INDEX(TrackMap!$I$8:$I$141,H960),INDEX(TrackMap!$L$8:$L$141,H960))</x:f>
        <x:v>3111</x:v>
      </x:c>
      <x:c r="L960" s="73" t="str">
        <x:f>INDEX(TrackMap!$F$8:$F$141,H960)</x:f>
        <x:v>←</x:v>
      </x:c>
      <x:c r="M960" s="87" t="n">
        <x:f>MAX(0,G960/Control!$B$17)</x:f>
        <x:v>0.8093607884475152</x:v>
      </x:c>
      <x:c r="N960" s="73" t="n">
        <x:f>IF(N954&gt;0,N954,IF(G960&gt;=Control!$B$17,A960,0))</x:f>
        <x:v>0</x:v>
      </x:c>
      <x:c r="O960" s="91" t="n">
        <x:f>IF(N960&gt;0,Control!$B$17+Control!$B$8+1-N960,G960)-B960/100000</x:f>
        <x:v>542.2716782598352</x:v>
      </x:c>
      <x:c r="P960" s="73" t="n">
        <x:f>COUNTIF($O$956:$O$961,"&gt;"&amp;O960)+1</x:f>
        <x:v>2</x:v>
      </x:c>
      <x:c r="Q960" s="83" t="n">
        <x:f>MAX($G$956:$G$961)-G960</x:f>
        <x:v>4.8624622388709895</x:v>
      </x:c>
      <x:c r="R960" s="73" t="str">
        <x:f>INDEX(TrackMap!$B$8:$B$141,H960)</x:f>
        <x:v>发车大直道</x:v>
      </x:c>
    </x:row>
    <x:row r="961" ht="20" customHeight="1">
      <x:c r="A961" s="73" t="n">
        <x:v>158</x:v>
      </x:c>
      <x:c r="B961" s="73" t="n">
        <x:v>6</x:v>
      </x:c>
      <x:c r="C961" s="73" t="str">
        <x:f>INDEX(Drivers!$B$8:$B$13,B961)</x:f>
        <x:v>玫速</x:v>
      </x:c>
      <x:c r="D961" s="83" t="n">
        <x:f>G955</x:f>
        <x:v>534.2226210190374</x:v>
      </x:c>
      <x:c r="E961" s="83" t="str">
        <x:f>IF(A961=0,"GRID",IF(D961&gt;=Control!$B$17,"FINISHED",IF(AND(A961&gt;=INDEX(Drivers!$G$8:$G$13,B961),A961&lt;INDEX(Drivers!$G$8:$G$13,B961)+INDEX(Drivers!$J$8:$J$13,B961)),"PIT",IF(MOD(A961+INDEX(Drivers!$F$8:$F$13,B961),Control!$B$11)&lt;Control!$B$13,"BOOST","RACE"))))</x:f>
        <x:v>RACE</x:v>
      </x:c>
      <x:c r="F961" s="83" t="n">
        <x:f>IF(OR(E961="GRID",E961="FINISHED",E961="PIT"),0,MAX(Control!$B$15,(INDEX(Drivers!$D$8:$D$13,B961)+INDEX(Drivers!$E$8:$E$13,B961)*SIN((A961+INDEX(Drivers!$F$8:$F$13,B961)+Control!$B$16)*Control!$B$14))*INDEX(TrackMap!$M$8:$M$141,MOD(INT(D961)-1,Control!$B$7)+1)*IF(E961="BOOST",Control!$B$12,1)))</x:f>
        <x:v>3.088223853607433</x:v>
      </x:c>
      <x:c r="G961" s="83" t="n">
        <x:f>IF(A961=0,D961,MIN(Control!$B$17,D961+F961))</x:f>
        <x:v>537.3108448726449</x:v>
      </x:c>
      <x:c r="H961" s="73" t="n">
        <x:f>MOD(INT(G961)-1,Control!$B$7)+1</x:f>
        <x:v>1</x:v>
      </x:c>
      <x:c r="I961" s="73" t="n">
        <x:f>MIN(Control!$B$6,MAX(1,INT(MAX(0,G961)/Control!$B$7)+1))</x:f>
        <x:v>5</x:v>
      </x:c>
      <x:c r="J961" s="73" t="n">
        <x:f>INDEX(Drivers!$H$8:$H$13,B961)</x:f>
        <x:v>2</x:v>
      </x:c>
      <x:c r="K961" s="73" t="n">
        <x:f>IF(J961=1,INDEX(TrackMap!$I$8:$I$141,H961),INDEX(TrackMap!$L$8:$L$141,H961))</x:f>
        <x:v>3016</x:v>
      </x:c>
      <x:c r="L961" s="73" t="str">
        <x:f>INDEX(TrackMap!$F$8:$F$141,H961)</x:f>
        <x:v>←</x:v>
      </x:c>
      <x:c r="M961" s="87" t="n">
        <x:f>MAX(0,G961/Control!$B$17)</x:f>
        <x:v>0.8019564848845446</x:v>
      </x:c>
      <x:c r="N961" s="73" t="n">
        <x:f>IF(N955&gt;0,N955,IF(G961&gt;=Control!$B$17,A961,0))</x:f>
        <x:v>0</x:v>
      </x:c>
      <x:c r="O961" s="91" t="n">
        <x:f>IF(N961&gt;0,Control!$B$17+Control!$B$8+1-N961,G961)-B961/100000</x:f>
        <x:v>537.310784872645</x:v>
      </x:c>
      <x:c r="P961" s="73" t="n">
        <x:f>COUNTIF($O$956:$O$961,"&gt;"&amp;O961)+1</x:f>
        <x:v>4</x:v>
      </x:c>
      <x:c r="Q961" s="83" t="n">
        <x:f>MAX($G$956:$G$961)-G961</x:f>
        <x:v>9.823345626061268</x:v>
      </x:c>
      <x:c r="R961" s="73" t="str">
        <x:f>INDEX(TrackMap!$B$8:$B$141,H961)</x:f>
        <x:v>发车大直道</x:v>
      </x:c>
    </x:row>
    <x:row r="962" ht="20" customHeight="1">
      <x:c r="A962" s="73" t="n">
        <x:v>159</x:v>
      </x:c>
      <x:c r="B962" s="73" t="n">
        <x:v>1</x:v>
      </x:c>
      <x:c r="C962" s="73" t="str">
        <x:f>INDEX(Drivers!$B$8:$B$13,B962)</x:f>
        <x:v>赤焰</x:v>
      </x:c>
      <x:c r="D962" s="83" t="n">
        <x:f>G956</x:f>
        <x:v>547.1341904987062</x:v>
      </x:c>
      <x:c r="E962" s="83" t="str">
        <x:f>IF(A962=0,"GRID",IF(D962&gt;=Control!$B$17,"FINISHED",IF(AND(A962&gt;=INDEX(Drivers!$G$8:$G$13,B962),A962&lt;INDEX(Drivers!$G$8:$G$13,B962)+INDEX(Drivers!$J$8:$J$13,B962)),"PIT",IF(MOD(A962+INDEX(Drivers!$F$8:$F$13,B962),Control!$B$11)&lt;Control!$B$13,"BOOST","RACE"))))</x:f>
        <x:v>RACE</x:v>
      </x:c>
      <x:c r="F962" s="83" t="n">
        <x:f>IF(OR(E962="GRID",E962="FINISHED",E962="PIT"),0,MAX(Control!$B$15,(INDEX(Drivers!$D$8:$D$13,B962)+INDEX(Drivers!$E$8:$E$13,B962)*SIN((A962+INDEX(Drivers!$F$8:$F$13,B962)+Control!$B$16)*Control!$B$14))*INDEX(TrackMap!$M$8:$M$141,MOD(INT(D962)-1,Control!$B$7)+1)*IF(E962="BOOST",Control!$B$12,1)))</x:f>
        <x:v>4.15814419935032</x:v>
      </x:c>
      <x:c r="G962" s="83" t="n">
        <x:f>IF(A962=0,D962,MIN(Control!$B$17,D962+F962))</x:f>
        <x:v>551.2923346980565</x:v>
      </x:c>
      <x:c r="H962" s="73" t="n">
        <x:f>MOD(INT(G962)-1,Control!$B$7)+1</x:f>
        <x:v>15</x:v>
      </x:c>
      <x:c r="I962" s="73" t="n">
        <x:f>MIN(Control!$B$6,MAX(1,INT(MAX(0,G962)/Control!$B$7)+1))</x:f>
        <x:v>5</x:v>
      </x:c>
      <x:c r="J962" s="73" t="n">
        <x:f>INDEX(Drivers!$H$8:$H$13,B962)</x:f>
        <x:v>1</x:v>
      </x:c>
      <x:c r="K962" s="73" t="n">
        <x:f>IF(J962=1,INDEX(TrackMap!$I$8:$I$141,H962),INDEX(TrackMap!$L$8:$L$141,H962))</x:f>
        <x:v>2703</x:v>
      </x:c>
      <x:c r="L962" s="73" t="str">
        <x:f>INDEX(TrackMap!$F$8:$F$141,H962)</x:f>
        <x:v>↑</x:v>
      </x:c>
      <x:c r="M962" s="87" t="n">
        <x:f>MAX(0,G962/Control!$B$17)</x:f>
        <x:v>0.822824380146353</x:v>
      </x:c>
      <x:c r="N962" s="73" t="n">
        <x:f>IF(N956&gt;0,N956,IF(G962&gt;=Control!$B$17,A962,0))</x:f>
        <x:v>0</x:v>
      </x:c>
      <x:c r="O962" s="91" t="n">
        <x:f>IF(N962&gt;0,Control!$B$17+Control!$B$8+1-N962,G962)-B962/100000</x:f>
        <x:v>551.2923246980565</x:v>
      </x:c>
      <x:c r="P962" s="73" t="n">
        <x:f>COUNTIF($O$962:$O$967,"&gt;"&amp;O962)+1</x:f>
        <x:v>1</x:v>
      </x:c>
      <x:c r="Q962" s="83" t="n">
        <x:f>MAX($G$962:$G$967)-G962</x:f>
        <x:v>0</x:v>
      </x:c>
      <x:c r="R962" s="73" t="str">
        <x:f>INDEX(TrackMap!$B$8:$B$141,H962)</x:f>
        <x:v>西侧回弯</x:v>
      </x:c>
    </x:row>
    <x:row r="963" ht="20" customHeight="1">
      <x:c r="A963" s="73" t="n">
        <x:v>159</x:v>
      </x:c>
      <x:c r="B963" s="73" t="n">
        <x:v>2</x:v>
      </x:c>
      <x:c r="C963" s="73" t="str">
        <x:f>INDEX(Drivers!$B$8:$B$13,B963)</x:f>
        <x:v>蓝电</x:v>
      </x:c>
      <x:c r="D963" s="83" t="n">
        <x:f>G957</x:f>
        <x:v>528.4160140113684</x:v>
      </x:c>
      <x:c r="E963" s="83" t="str">
        <x:f>IF(A963=0,"GRID",IF(D963&gt;=Control!$B$17,"FINISHED",IF(AND(A963&gt;=INDEX(Drivers!$G$8:$G$13,B963),A963&lt;INDEX(Drivers!$G$8:$G$13,B963)+INDEX(Drivers!$J$8:$J$13,B963)),"PIT",IF(MOD(A963+INDEX(Drivers!$F$8:$F$13,B963),Control!$B$11)&lt;Control!$B$13,"BOOST","RACE"))))</x:f>
        <x:v>RACE</x:v>
      </x:c>
      <x:c r="F963" s="83" t="n">
        <x:f>IF(OR(E963="GRID",E963="FINISHED",E963="PIT"),0,MAX(Control!$B$15,(INDEX(Drivers!$D$8:$D$13,B963)+INDEX(Drivers!$E$8:$E$13,B963)*SIN((A963+INDEX(Drivers!$F$8:$F$13,B963)+Control!$B$16)*Control!$B$14))*INDEX(TrackMap!$M$8:$M$141,MOD(INT(D963)-1,Control!$B$7)+1)*IF(E963="BOOST",Control!$B$12,1)))</x:f>
        <x:v>3.2281857849443067</x:v>
      </x:c>
      <x:c r="G963" s="83" t="n">
        <x:f>IF(A963=0,D963,MIN(Control!$B$17,D963+F963))</x:f>
        <x:v>531.6441997963127</x:v>
      </x:c>
      <x:c r="H963" s="73" t="n">
        <x:f>MOD(INT(G963)-1,Control!$B$7)+1</x:f>
        <x:v>129</x:v>
      </x:c>
      <x:c r="I963" s="73" t="n">
        <x:f>MIN(Control!$B$6,MAX(1,INT(MAX(0,G963)/Control!$B$7)+1))</x:f>
        <x:v>4</x:v>
      </x:c>
      <x:c r="J963" s="73" t="n">
        <x:f>INDEX(Drivers!$H$8:$H$13,B963)</x:f>
        <x:v>2</x:v>
      </x:c>
      <x:c r="K963" s="73" t="n">
        <x:f>IF(J963=1,INDEX(TrackMap!$I$8:$I$141,H963),INDEX(TrackMap!$L$8:$L$141,H963))</x:f>
        <x:v>3022</x:v>
      </x:c>
      <x:c r="L963" s="73" t="str">
        <x:f>INDEX(TrackMap!$F$8:$F$141,H963)</x:f>
        <x:v>←</x:v>
      </x:c>
      <x:c r="M963" s="87" t="n">
        <x:f>MAX(0,G963/Control!$B$17)</x:f>
        <x:v>0.7934988056661384</x:v>
      </x:c>
      <x:c r="N963" s="73" t="n">
        <x:f>IF(N957&gt;0,N957,IF(G963&gt;=Control!$B$17,A963,0))</x:f>
        <x:v>0</x:v>
      </x:c>
      <x:c r="O963" s="91" t="n">
        <x:f>IF(N963&gt;0,Control!$B$17+Control!$B$8+1-N963,G963)-B963/100000</x:f>
        <x:v>531.6441797963128</x:v>
      </x:c>
      <x:c r="P963" s="73" t="n">
        <x:f>COUNTIF($O$962:$O$967,"&gt;"&amp;O963)+1</x:f>
        <x:v>6</x:v>
      </x:c>
      <x:c r="Q963" s="83" t="n">
        <x:f>MAX($G$962:$G$967)-G963</x:f>
        <x:v>19.648134901743788</x:v>
      </x:c>
      <x:c r="R963" s="73" t="str">
        <x:f>INDEX(TrackMap!$B$8:$B$141,H963)</x:f>
        <x:v>发车大直道</x:v>
      </x:c>
    </x:row>
    <x:row r="964" ht="20" customHeight="1">
      <x:c r="A964" s="73" t="n">
        <x:v>159</x:v>
      </x:c>
      <x:c r="B964" s="73" t="n">
        <x:v>3</x:v>
      </x:c>
      <x:c r="C964" s="73" t="str">
        <x:f>INDEX(Drivers!$B$8:$B$13,B964)</x:f>
        <x:v>金翼</x:v>
      </x:c>
      <x:c r="D964" s="83" t="n">
        <x:f>G958</x:f>
        <x:v>539.8853187342711</x:v>
      </x:c>
      <x:c r="E964" s="83" t="str">
        <x:f>IF(A964=0,"GRID",IF(D964&gt;=Control!$B$17,"FINISHED",IF(AND(A964&gt;=INDEX(Drivers!$G$8:$G$13,B964),A964&lt;INDEX(Drivers!$G$8:$G$13,B964)+INDEX(Drivers!$J$8:$J$13,B964)),"PIT",IF(MOD(A964+INDEX(Drivers!$F$8:$F$13,B964),Control!$B$11)&lt;Control!$B$13,"BOOST","RACE"))))</x:f>
        <x:v>RACE</x:v>
      </x:c>
      <x:c r="F964" s="83" t="n">
        <x:f>IF(OR(E964="GRID",E964="FINISHED",E964="PIT"),0,MAX(Control!$B$15,(INDEX(Drivers!$D$8:$D$13,B964)+INDEX(Drivers!$E$8:$E$13,B964)*SIN((A964+INDEX(Drivers!$F$8:$F$13,B964)+Control!$B$16)*Control!$B$14))*INDEX(TrackMap!$M$8:$M$141,MOD(INT(D964)-1,Control!$B$7)+1)*IF(E964="BOOST",Control!$B$12,1)))</x:f>
        <x:v>3.7374457180661977</x:v>
      </x:c>
      <x:c r="G964" s="83" t="n">
        <x:f>IF(A964=0,D964,MIN(Control!$B$17,D964+F964))</x:f>
        <x:v>543.6227644523373</x:v>
      </x:c>
      <x:c r="H964" s="73" t="n">
        <x:f>MOD(INT(G964)-1,Control!$B$7)+1</x:f>
        <x:v>7</x:v>
      </x:c>
      <x:c r="I964" s="73" t="n">
        <x:f>MIN(Control!$B$6,MAX(1,INT(MAX(0,G964)/Control!$B$7)+1))</x:f>
        <x:v>5</x:v>
      </x:c>
      <x:c r="J964" s="73" t="n">
        <x:f>INDEX(Drivers!$H$8:$H$13,B964)</x:f>
        <x:v>1</x:v>
      </x:c>
      <x:c r="K964" s="73" t="n">
        <x:f>IF(J964=1,INDEX(TrackMap!$I$8:$I$141,H964),INDEX(TrackMap!$L$8:$L$141,H964))</x:f>
        <x:v>3110</x:v>
      </x:c>
      <x:c r="L964" s="73" t="str">
        <x:f>INDEX(TrackMap!$F$8:$F$141,H964)</x:f>
        <x:v>←</x:v>
      </x:c>
      <x:c r="M964" s="87" t="n">
        <x:f>MAX(0,G964/Control!$B$17)</x:f>
        <x:v>0.8113772603766228</x:v>
      </x:c>
      <x:c r="N964" s="73" t="n">
        <x:f>IF(N958&gt;0,N958,IF(G964&gt;=Control!$B$17,A964,0))</x:f>
        <x:v>0</x:v>
      </x:c>
      <x:c r="O964" s="91" t="n">
        <x:f>IF(N964&gt;0,Control!$B$17+Control!$B$8+1-N964,G964)-B964/100000</x:f>
        <x:v>543.6227344523372</x:v>
      </x:c>
      <x:c r="P964" s="73" t="n">
        <x:f>COUNTIF($O$962:$O$967,"&gt;"&amp;O964)+1</x:f>
        <x:v>3</x:v>
      </x:c>
      <x:c r="Q964" s="83" t="n">
        <x:f>MAX($G$962:$G$967)-G964</x:f>
        <x:v>7.669570245719228</x:v>
      </x:c>
      <x:c r="R964" s="73" t="str">
        <x:f>INDEX(TrackMap!$B$8:$B$141,H964)</x:f>
        <x:v>发车大直道</x:v>
      </x:c>
    </x:row>
    <x:row r="965" ht="20" customHeight="1">
      <x:c r="A965" s="73" t="n">
        <x:v>159</x:v>
      </x:c>
      <x:c r="B965" s="73" t="n">
        <x:v>4</x:v>
      </x:c>
      <x:c r="C965" s="73" t="str">
        <x:f>INDEX(Drivers!$B$8:$B$13,B965)</x:f>
        <x:v>紫影</x:v>
      </x:c>
      <x:c r="D965" s="83" t="n">
        <x:f>G959</x:f>
        <x:v>531.1646373812712</x:v>
      </x:c>
      <x:c r="E965" s="83" t="str">
        <x:f>IF(A965=0,"GRID",IF(D965&gt;=Control!$B$17,"FINISHED",IF(AND(A965&gt;=INDEX(Drivers!$G$8:$G$13,B965),A965&lt;INDEX(Drivers!$G$8:$G$13,B965)+INDEX(Drivers!$J$8:$J$13,B965)),"PIT",IF(MOD(A965+INDEX(Drivers!$F$8:$F$13,B965),Control!$B$11)&lt;Control!$B$13,"BOOST","RACE"))))</x:f>
        <x:v>RACE</x:v>
      </x:c>
      <x:c r="F965" s="83" t="n">
        <x:f>IF(OR(E965="GRID",E965="FINISHED",E965="PIT"),0,MAX(Control!$B$15,(INDEX(Drivers!$D$8:$D$13,B965)+INDEX(Drivers!$E$8:$E$13,B965)*SIN((A965+INDEX(Drivers!$F$8:$F$13,B965)+Control!$B$16)*Control!$B$14))*INDEX(TrackMap!$M$8:$M$141,MOD(INT(D965)-1,Control!$B$7)+1)*IF(E965="BOOST",Control!$B$12,1)))</x:f>
        <x:v>3.8660972160901723</x:v>
      </x:c>
      <x:c r="G965" s="83" t="n">
        <x:f>IF(A965=0,D965,MIN(Control!$B$17,D965+F965))</x:f>
        <x:v>535.0307345973614</x:v>
      </x:c>
      <x:c r="H965" s="73" t="n">
        <x:f>MOD(INT(G965)-1,Control!$B$7)+1</x:f>
        <x:v>133</x:v>
      </x:c>
      <x:c r="I965" s="73" t="n">
        <x:f>MIN(Control!$B$6,MAX(1,INT(MAX(0,G965)/Control!$B$7)+1))</x:f>
        <x:v>4</x:v>
      </x:c>
      <x:c r="J965" s="73" t="n">
        <x:f>INDEX(Drivers!$H$8:$H$13,B965)</x:f>
        <x:v>2</x:v>
      </x:c>
      <x:c r="K965" s="73" t="n">
        <x:f>IF(J965=1,INDEX(TrackMap!$I$8:$I$141,H965),INDEX(TrackMap!$L$8:$L$141,H965))</x:f>
        <x:v>3018</x:v>
      </x:c>
      <x:c r="L965" s="73" t="str">
        <x:f>INDEX(TrackMap!$F$8:$F$141,H965)</x:f>
        <x:v>←</x:v>
      </x:c>
      <x:c r="M965" s="87" t="n">
        <x:f>MAX(0,G965/Control!$B$17)</x:f>
        <x:v>0.7985533352199424</x:v>
      </x:c>
      <x:c r="N965" s="73" t="n">
        <x:f>IF(N959&gt;0,N959,IF(G965&gt;=Control!$B$17,A965,0))</x:f>
        <x:v>0</x:v>
      </x:c>
      <x:c r="O965" s="91" t="n">
        <x:f>IF(N965&gt;0,Control!$B$17+Control!$B$8+1-N965,G965)-B965/100000</x:f>
        <x:v>535.0306945973614</x:v>
      </x:c>
      <x:c r="P965" s="73" t="n">
        <x:f>COUNTIF($O$962:$O$967,"&gt;"&amp;O965)+1</x:f>
        <x:v>5</x:v>
      </x:c>
      <x:c r="Q965" s="83" t="n">
        <x:f>MAX($G$962:$G$967)-G965</x:f>
        <x:v>16.26160010069509</x:v>
      </x:c>
      <x:c r="R965" s="73" t="str">
        <x:f>INDEX(TrackMap!$B$8:$B$141,H965)</x:f>
        <x:v>发车大直道</x:v>
      </x:c>
    </x:row>
    <x:row r="966" ht="20" customHeight="1">
      <x:c r="A966" s="73" t="n">
        <x:v>159</x:v>
      </x:c>
      <x:c r="B966" s="73" t="n">
        <x:v>5</x:v>
      </x:c>
      <x:c r="C966" s="73" t="str">
        <x:f>INDEX(Drivers!$B$8:$B$13,B966)</x:f>
        <x:v>青锋</x:v>
      </x:c>
      <x:c r="D966" s="83" t="n">
        <x:f>G960</x:f>
        <x:v>542.2717282598352</x:v>
      </x:c>
      <x:c r="E966" s="83" t="str">
        <x:f>IF(A966=0,"GRID",IF(D966&gt;=Control!$B$17,"FINISHED",IF(AND(A966&gt;=INDEX(Drivers!$G$8:$G$13,B966),A966&lt;INDEX(Drivers!$G$8:$G$13,B966)+INDEX(Drivers!$J$8:$J$13,B966)),"PIT",IF(MOD(A966+INDEX(Drivers!$F$8:$F$13,B966),Control!$B$11)&lt;Control!$B$13,"BOOST","RACE"))))</x:f>
        <x:v>RACE</x:v>
      </x:c>
      <x:c r="F966" s="83" t="n">
        <x:f>IF(OR(E966="GRID",E966="FINISHED",E966="PIT"),0,MAX(Control!$B$15,(INDEX(Drivers!$D$8:$D$13,B966)+INDEX(Drivers!$E$8:$E$13,B966)*SIN((A966+INDEX(Drivers!$F$8:$F$13,B966)+Control!$B$16)*Control!$B$14))*INDEX(TrackMap!$M$8:$M$141,MOD(INT(D966)-1,Control!$B$7)+1)*IF(E966="BOOST",Control!$B$12,1)))</x:f>
        <x:v>3.8717130399117647</x:v>
      </x:c>
      <x:c r="G966" s="83" t="n">
        <x:f>IF(A966=0,D966,MIN(Control!$B$17,D966+F966))</x:f>
        <x:v>546.143441299747</x:v>
      </x:c>
      <x:c r="H966" s="73" t="n">
        <x:f>MOD(INT(G966)-1,Control!$B$7)+1</x:f>
        <x:v>10</x:v>
      </x:c>
      <x:c r="I966" s="73" t="n">
        <x:f>MIN(Control!$B$6,MAX(1,INT(MAX(0,G966)/Control!$B$7)+1))</x:f>
        <x:v>5</x:v>
      </x:c>
      <x:c r="J966" s="73" t="n">
        <x:f>INDEX(Drivers!$H$8:$H$13,B966)</x:f>
        <x:v>1</x:v>
      </x:c>
      <x:c r="K966" s="73" t="n">
        <x:f>IF(J966=1,INDEX(TrackMap!$I$8:$I$141,H966),INDEX(TrackMap!$L$8:$L$141,H966))</x:f>
        <x:v>3107</x:v>
      </x:c>
      <x:c r="L966" s="73" t="str">
        <x:f>INDEX(TrackMap!$F$8:$F$141,H966)</x:f>
        <x:v>←</x:v>
      </x:c>
      <x:c r="M966" s="87" t="n">
        <x:f>MAX(0,G966/Control!$B$17)</x:f>
        <x:v>0.815139464626488</x:v>
      </x:c>
      <x:c r="N966" s="73" t="n">
        <x:f>IF(N960&gt;0,N960,IF(G966&gt;=Control!$B$17,A966,0))</x:f>
        <x:v>0</x:v>
      </x:c>
      <x:c r="O966" s="91" t="n">
        <x:f>IF(N966&gt;0,Control!$B$17+Control!$B$8+1-N966,G966)-B966/100000</x:f>
        <x:v>546.143391299747</x:v>
      </x:c>
      <x:c r="P966" s="73" t="n">
        <x:f>COUNTIF($O$962:$O$967,"&gt;"&amp;O966)+1</x:f>
        <x:v>2</x:v>
      </x:c>
      <x:c r="Q966" s="83" t="n">
        <x:f>MAX($G$962:$G$967)-G966</x:f>
        <x:v>5.148893398309497</x:v>
      </x:c>
      <x:c r="R966" s="73" t="str">
        <x:f>INDEX(TrackMap!$B$8:$B$141,H966)</x:f>
        <x:v>发车大直道</x:v>
      </x:c>
    </x:row>
    <x:row r="967" ht="20" customHeight="1">
      <x:c r="A967" s="73" t="n">
        <x:v>159</x:v>
      </x:c>
      <x:c r="B967" s="73" t="n">
        <x:v>6</x:v>
      </x:c>
      <x:c r="C967" s="73" t="str">
        <x:f>INDEX(Drivers!$B$8:$B$13,B967)</x:f>
        <x:v>玫速</x:v>
      </x:c>
      <x:c r="D967" s="83" t="n">
        <x:f>G961</x:f>
        <x:v>537.3108448726449</x:v>
      </x:c>
      <x:c r="E967" s="83" t="str">
        <x:f>IF(A967=0,"GRID",IF(D967&gt;=Control!$B$17,"FINISHED",IF(AND(A967&gt;=INDEX(Drivers!$G$8:$G$13,B967),A967&lt;INDEX(Drivers!$G$8:$G$13,B967)+INDEX(Drivers!$J$8:$J$13,B967)),"PIT",IF(MOD(A967+INDEX(Drivers!$F$8:$F$13,B967),Control!$B$11)&lt;Control!$B$13,"BOOST","RACE"))))</x:f>
        <x:v>RACE</x:v>
      </x:c>
      <x:c r="F967" s="83" t="n">
        <x:f>IF(OR(E967="GRID",E967="FINISHED",E967="PIT"),0,MAX(Control!$B$15,(INDEX(Drivers!$D$8:$D$13,B967)+INDEX(Drivers!$E$8:$E$13,B967)*SIN((A967+INDEX(Drivers!$F$8:$F$13,B967)+Control!$B$16)*Control!$B$14))*INDEX(TrackMap!$M$8:$M$141,MOD(INT(D967)-1,Control!$B$7)+1)*IF(E967="BOOST",Control!$B$12,1)))</x:f>
        <x:v>2.467975247726663</x:v>
      </x:c>
      <x:c r="G967" s="83" t="n">
        <x:f>IF(A967=0,D967,MIN(Control!$B$17,D967+F967))</x:f>
        <x:v>539.7788201203716</x:v>
      </x:c>
      <x:c r="H967" s="73" t="n">
        <x:f>MOD(INT(G967)-1,Control!$B$7)+1</x:f>
        <x:v>3</x:v>
      </x:c>
      <x:c r="I967" s="73" t="n">
        <x:f>MIN(Control!$B$6,MAX(1,INT(MAX(0,G967)/Control!$B$7)+1))</x:f>
        <x:v>5</x:v>
      </x:c>
      <x:c r="J967" s="73" t="n">
        <x:f>INDEX(Drivers!$H$8:$H$13,B967)</x:f>
        <x:v>2</x:v>
      </x:c>
      <x:c r="K967" s="73" t="n">
        <x:f>IF(J967=1,INDEX(TrackMap!$I$8:$I$141,H967),INDEX(TrackMap!$L$8:$L$141,H967))</x:f>
        <x:v>3014</x:v>
      </x:c>
      <x:c r="L967" s="73" t="str">
        <x:f>INDEX(TrackMap!$F$8:$F$141,H967)</x:f>
        <x:v>←</x:v>
      </x:c>
      <x:c r="M967" s="87" t="n">
        <x:f>MAX(0,G967/Control!$B$17)</x:f>
        <x:v>0.8056400300304054</x:v>
      </x:c>
      <x:c r="N967" s="73" t="n">
        <x:f>IF(N961&gt;0,N961,IF(G967&gt;=Control!$B$17,A967,0))</x:f>
        <x:v>0</x:v>
      </x:c>
      <x:c r="O967" s="91" t="n">
        <x:f>IF(N967&gt;0,Control!$B$17+Control!$B$8+1-N967,G967)-B967/100000</x:f>
        <x:v>539.7787601203717</x:v>
      </x:c>
      <x:c r="P967" s="73" t="n">
        <x:f>COUNTIF($O$962:$O$967,"&gt;"&amp;O967)+1</x:f>
        <x:v>4</x:v>
      </x:c>
      <x:c r="Q967" s="83" t="n">
        <x:f>MAX($G$962:$G$967)-G967</x:f>
        <x:v>11.513514577684873</x:v>
      </x:c>
      <x:c r="R967" s="73" t="str">
        <x:f>INDEX(TrackMap!$B$8:$B$141,H967)</x:f>
        <x:v>发车大直道</x:v>
      </x:c>
    </x:row>
    <x:row r="968" ht="20" customHeight="1">
      <x:c r="A968" s="73" t="n">
        <x:v>160</x:v>
      </x:c>
      <x:c r="B968" s="73" t="n">
        <x:v>1</x:v>
      </x:c>
      <x:c r="C968" s="73" t="str">
        <x:f>INDEX(Drivers!$B$8:$B$13,B968)</x:f>
        <x:v>赤焰</x:v>
      </x:c>
      <x:c r="D968" s="83" t="n">
        <x:f>G962</x:f>
        <x:v>551.2923346980565</x:v>
      </x:c>
      <x:c r="E968" s="83" t="str">
        <x:f>IF(A968=0,"GRID",IF(D968&gt;=Control!$B$17,"FINISHED",IF(AND(A968&gt;=INDEX(Drivers!$G$8:$G$13,B968),A968&lt;INDEX(Drivers!$G$8:$G$13,B968)+INDEX(Drivers!$J$8:$J$13,B968)),"PIT",IF(MOD(A968+INDEX(Drivers!$F$8:$F$13,B968),Control!$B$11)&lt;Control!$B$13,"BOOST","RACE"))))</x:f>
        <x:v>RACE</x:v>
      </x:c>
      <x:c r="F968" s="83" t="n">
        <x:f>IF(OR(E968="GRID",E968="FINISHED",E968="PIT"),0,MAX(Control!$B$15,(INDEX(Drivers!$D$8:$D$13,B968)+INDEX(Drivers!$E$8:$E$13,B968)*SIN((A968+INDEX(Drivers!$F$8:$F$13,B968)+Control!$B$16)*Control!$B$14))*INDEX(TrackMap!$M$8:$M$141,MOD(INT(D968)-1,Control!$B$7)+1)*IF(E968="BOOST",Control!$B$12,1)))</x:f>
        <x:v>3.275889967221454</x:v>
      </x:c>
      <x:c r="G968" s="83" t="n">
        <x:f>IF(A968=0,D968,MIN(Control!$B$17,D968+F968))</x:f>
        <x:v>554.568224665278</x:v>
      </x:c>
      <x:c r="H968" s="73" t="n">
        <x:f>MOD(INT(G968)-1,Control!$B$7)+1</x:f>
        <x:v>18</x:v>
      </x:c>
      <x:c r="I968" s="73" t="n">
        <x:f>MIN(Control!$B$6,MAX(1,INT(MAX(0,G968)/Control!$B$7)+1))</x:f>
        <x:v>5</x:v>
      </x:c>
      <x:c r="J968" s="73" t="n">
        <x:f>INDEX(Drivers!$H$8:$H$13,B968)</x:f>
        <x:v>1</x:v>
      </x:c>
      <x:c r="K968" s="73" t="n">
        <x:f>IF(J968=1,INDEX(TrackMap!$I$8:$I$141,H968),INDEX(TrackMap!$L$8:$L$141,H968))</x:f>
        <x:v>2403</x:v>
      </x:c>
      <x:c r="L968" s="73" t="str">
        <x:f>INDEX(TrackMap!$F$8:$F$141,H968)</x:f>
        <x:v>↑</x:v>
      </x:c>
      <x:c r="M968" s="87" t="n">
        <x:f>MAX(0,G968/Control!$B$17)</x:f>
        <x:v>0.8277137681571313</x:v>
      </x:c>
      <x:c r="N968" s="73" t="n">
        <x:f>IF(N962&gt;0,N962,IF(G968&gt;=Control!$B$17,A968,0))</x:f>
        <x:v>0</x:v>
      </x:c>
      <x:c r="O968" s="91" t="n">
        <x:f>IF(N968&gt;0,Control!$B$17+Control!$B$8+1-N968,G968)-B968/100000</x:f>
        <x:v>554.568214665278</x:v>
      </x:c>
      <x:c r="P968" s="73" t="n">
        <x:f>COUNTIF($O$968:$O$973,"&gt;"&amp;O968)+1</x:f>
        <x:v>1</x:v>
      </x:c>
      <x:c r="Q968" s="83" t="n">
        <x:f>MAX($G$968:$G$973)-G968</x:f>
        <x:v>0</x:v>
      </x:c>
      <x:c r="R968" s="73" t="str">
        <x:f>INDEX(TrackMap!$B$8:$B$141,H968)</x:f>
        <x:v>西侧回弯</x:v>
      </x:c>
    </x:row>
    <x:row r="969" ht="20" customHeight="1">
      <x:c r="A969" s="73" t="n">
        <x:v>160</x:v>
      </x:c>
      <x:c r="B969" s="73" t="n">
        <x:v>2</x:v>
      </x:c>
      <x:c r="C969" s="73" t="str">
        <x:f>INDEX(Drivers!$B$8:$B$13,B969)</x:f>
        <x:v>蓝电</x:v>
      </x:c>
      <x:c r="D969" s="83" t="n">
        <x:f>G963</x:f>
        <x:v>531.6441997963127</x:v>
      </x:c>
      <x:c r="E969" s="83" t="str">
        <x:f>IF(A969=0,"GRID",IF(D969&gt;=Control!$B$17,"FINISHED",IF(AND(A969&gt;=INDEX(Drivers!$G$8:$G$13,B969),A969&lt;INDEX(Drivers!$G$8:$G$13,B969)+INDEX(Drivers!$J$8:$J$13,B969)),"PIT",IF(MOD(A969+INDEX(Drivers!$F$8:$F$13,B969),Control!$B$11)&lt;Control!$B$13,"BOOST","RACE"))))</x:f>
        <x:v>RACE</x:v>
      </x:c>
      <x:c r="F969" s="83" t="n">
        <x:f>IF(OR(E969="GRID",E969="FINISHED",E969="PIT"),0,MAX(Control!$B$15,(INDEX(Drivers!$D$8:$D$13,B969)+INDEX(Drivers!$E$8:$E$13,B969)*SIN((A969+INDEX(Drivers!$F$8:$F$13,B969)+Control!$B$16)*Control!$B$14))*INDEX(TrackMap!$M$8:$M$141,MOD(INT(D969)-1,Control!$B$7)+1)*IF(E969="BOOST",Control!$B$12,1)))</x:f>
        <x:v>3.07623744416603</x:v>
      </x:c>
      <x:c r="G969" s="83" t="n">
        <x:f>IF(A969=0,D969,MIN(Control!$B$17,D969+F969))</x:f>
        <x:v>534.7204372404788</x:v>
      </x:c>
      <x:c r="H969" s="73" t="n">
        <x:f>MOD(INT(G969)-1,Control!$B$7)+1</x:f>
        <x:v>132</x:v>
      </x:c>
      <x:c r="I969" s="73" t="n">
        <x:f>MIN(Control!$B$6,MAX(1,INT(MAX(0,G969)/Control!$B$7)+1))</x:f>
        <x:v>4</x:v>
      </x:c>
      <x:c r="J969" s="73" t="n">
        <x:f>INDEX(Drivers!$H$8:$H$13,B969)</x:f>
        <x:v>2</x:v>
      </x:c>
      <x:c r="K969" s="73" t="n">
        <x:f>IF(J969=1,INDEX(TrackMap!$I$8:$I$141,H969),INDEX(TrackMap!$L$8:$L$141,H969))</x:f>
        <x:v>3019</x:v>
      </x:c>
      <x:c r="L969" s="73" t="str">
        <x:f>INDEX(TrackMap!$F$8:$F$141,H969)</x:f>
        <x:v>←</x:v>
      </x:c>
      <x:c r="M969" s="87" t="n">
        <x:f>MAX(0,G969/Control!$B$17)</x:f>
        <x:v>0.7980902048365355</x:v>
      </x:c>
      <x:c r="N969" s="73" t="n">
        <x:f>IF(N963&gt;0,N963,IF(G969&gt;=Control!$B$17,A969,0))</x:f>
        <x:v>0</x:v>
      </x:c>
      <x:c r="O969" s="91" t="n">
        <x:f>IF(N969&gt;0,Control!$B$17+Control!$B$8+1-N969,G969)-B969/100000</x:f>
        <x:v>534.7204172404788</x:v>
      </x:c>
      <x:c r="P969" s="73" t="n">
        <x:f>COUNTIF($O$968:$O$973,"&gt;"&amp;O969)+1</x:f>
        <x:v>6</x:v>
      </x:c>
      <x:c r="Q969" s="83" t="n">
        <x:f>MAX($G$968:$G$973)-G969</x:f>
        <x:v>19.847787424799208</x:v>
      </x:c>
      <x:c r="R969" s="73" t="str">
        <x:f>INDEX(TrackMap!$B$8:$B$141,H969)</x:f>
        <x:v>发车大直道</x:v>
      </x:c>
    </x:row>
    <x:row r="970" ht="20" customHeight="1">
      <x:c r="A970" s="73" t="n">
        <x:v>160</x:v>
      </x:c>
      <x:c r="B970" s="73" t="n">
        <x:v>3</x:v>
      </x:c>
      <x:c r="C970" s="73" t="str">
        <x:f>INDEX(Drivers!$B$8:$B$13,B970)</x:f>
        <x:v>金翼</x:v>
      </x:c>
      <x:c r="D970" s="83" t="n">
        <x:f>G964</x:f>
        <x:v>543.6227644523373</x:v>
      </x:c>
      <x:c r="E970" s="83" t="str">
        <x:f>IF(A970=0,"GRID",IF(D970&gt;=Control!$B$17,"FINISHED",IF(AND(A970&gt;=INDEX(Drivers!$G$8:$G$13,B970),A970&lt;INDEX(Drivers!$G$8:$G$13,B970)+INDEX(Drivers!$J$8:$J$13,B970)),"PIT",IF(MOD(A970+INDEX(Drivers!$F$8:$F$13,B970),Control!$B$11)&lt;Control!$B$13,"BOOST","RACE"))))</x:f>
        <x:v>RACE</x:v>
      </x:c>
      <x:c r="F970" s="83" t="n">
        <x:f>IF(OR(E970="GRID",E970="FINISHED",E970="PIT"),0,MAX(Control!$B$15,(INDEX(Drivers!$D$8:$D$13,B970)+INDEX(Drivers!$E$8:$E$13,B970)*SIN((A970+INDEX(Drivers!$F$8:$F$13,B970)+Control!$B$16)*Control!$B$14))*INDEX(TrackMap!$M$8:$M$141,MOD(INT(D970)-1,Control!$B$7)+1)*IF(E970="BOOST",Control!$B$12,1)))</x:f>
        <x:v>3.9152116193556648</x:v>
      </x:c>
      <x:c r="G970" s="83" t="n">
        <x:f>IF(A970=0,D970,MIN(Control!$B$17,D970+F970))</x:f>
        <x:v>547.5379760716929</x:v>
      </x:c>
      <x:c r="H970" s="73" t="n">
        <x:f>MOD(INT(G970)-1,Control!$B$7)+1</x:f>
        <x:v>11</x:v>
      </x:c>
      <x:c r="I970" s="73" t="n">
        <x:f>MIN(Control!$B$6,MAX(1,INT(MAX(0,G970)/Control!$B$7)+1))</x:f>
        <x:v>5</x:v>
      </x:c>
      <x:c r="J970" s="73" t="n">
        <x:f>INDEX(Drivers!$H$8:$H$13,B970)</x:f>
        <x:v>1</x:v>
      </x:c>
      <x:c r="K970" s="73" t="n">
        <x:f>IF(J970=1,INDEX(TrackMap!$I$8:$I$141,H970),INDEX(TrackMap!$L$8:$L$141,H970))</x:f>
        <x:v>3106</x:v>
      </x:c>
      <x:c r="L970" s="73" t="str">
        <x:f>INDEX(TrackMap!$F$8:$F$141,H970)</x:f>
        <x:v>←</x:v>
      </x:c>
      <x:c r="M970" s="87" t="n">
        <x:f>MAX(0,G970/Control!$B$17)</x:f>
        <x:v>0.8172208598084969</x:v>
      </x:c>
      <x:c r="N970" s="73" t="n">
        <x:f>IF(N964&gt;0,N964,IF(G970&gt;=Control!$B$17,A970,0))</x:f>
        <x:v>0</x:v>
      </x:c>
      <x:c r="O970" s="91" t="n">
        <x:f>IF(N970&gt;0,Control!$B$17+Control!$B$8+1-N970,G970)-B970/100000</x:f>
        <x:v>547.5379460716929</x:v>
      </x:c>
      <x:c r="P970" s="73" t="n">
        <x:f>COUNTIF($O$968:$O$973,"&gt;"&amp;O970)+1</x:f>
        <x:v>3</x:v>
      </x:c>
      <x:c r="Q970" s="83" t="n">
        <x:f>MAX($G$968:$G$973)-G970</x:f>
        <x:v>7.030248593585043</x:v>
      </x:c>
      <x:c r="R970" s="73" t="str">
        <x:f>INDEX(TrackMap!$B$8:$B$141,H970)</x:f>
        <x:v>发车大直道</x:v>
      </x:c>
    </x:row>
    <x:row r="971" ht="20" customHeight="1">
      <x:c r="A971" s="73" t="n">
        <x:v>160</x:v>
      </x:c>
      <x:c r="B971" s="73" t="n">
        <x:v>4</x:v>
      </x:c>
      <x:c r="C971" s="73" t="str">
        <x:f>INDEX(Drivers!$B$8:$B$13,B971)</x:f>
        <x:v>紫影</x:v>
      </x:c>
      <x:c r="D971" s="83" t="n">
        <x:f>G965</x:f>
        <x:v>535.0307345973614</x:v>
      </x:c>
      <x:c r="E971" s="83" t="str">
        <x:f>IF(A971=0,"GRID",IF(D971&gt;=Control!$B$17,"FINISHED",IF(AND(A971&gt;=INDEX(Drivers!$G$8:$G$13,B971),A971&lt;INDEX(Drivers!$G$8:$G$13,B971)+INDEX(Drivers!$J$8:$J$13,B971)),"PIT",IF(MOD(A971+INDEX(Drivers!$F$8:$F$13,B971),Control!$B$11)&lt;Control!$B$13,"BOOST","RACE"))))</x:f>
        <x:v>RACE</x:v>
      </x:c>
      <x:c r="F971" s="83" t="n">
        <x:f>IF(OR(E971="GRID",E971="FINISHED",E971="PIT"),0,MAX(Control!$B$15,(INDEX(Drivers!$D$8:$D$13,B971)+INDEX(Drivers!$E$8:$E$13,B971)*SIN((A971+INDEX(Drivers!$F$8:$F$13,B971)+Control!$B$16)*Control!$B$14))*INDEX(TrackMap!$M$8:$M$141,MOD(INT(D971)-1,Control!$B$7)+1)*IF(E971="BOOST",Control!$B$12,1)))</x:f>
        <x:v>2.8561485150943655</x:v>
      </x:c>
      <x:c r="G971" s="83" t="n">
        <x:f>IF(A971=0,D971,MIN(Control!$B$17,D971+F971))</x:f>
        <x:v>537.8868831124557</x:v>
      </x:c>
      <x:c r="H971" s="73" t="n">
        <x:f>MOD(INT(G971)-1,Control!$B$7)+1</x:f>
        <x:v>1</x:v>
      </x:c>
      <x:c r="I971" s="73" t="n">
        <x:f>MIN(Control!$B$6,MAX(1,INT(MAX(0,G971)/Control!$B$7)+1))</x:f>
        <x:v>5</x:v>
      </x:c>
      <x:c r="J971" s="73" t="n">
        <x:f>INDEX(Drivers!$H$8:$H$13,B971)</x:f>
        <x:v>2</x:v>
      </x:c>
      <x:c r="K971" s="73" t="n">
        <x:f>IF(J971=1,INDEX(TrackMap!$I$8:$I$141,H971),INDEX(TrackMap!$L$8:$L$141,H971))</x:f>
        <x:v>3016</x:v>
      </x:c>
      <x:c r="L971" s="73" t="str">
        <x:f>INDEX(TrackMap!$F$8:$F$141,H971)</x:f>
        <x:v>←</x:v>
      </x:c>
      <x:c r="M971" s="87" t="n">
        <x:f>MAX(0,G971/Control!$B$17)</x:f>
        <x:v>0.8028162434514264</x:v>
      </x:c>
      <x:c r="N971" s="73" t="n">
        <x:f>IF(N965&gt;0,N965,IF(G971&gt;=Control!$B$17,A971,0))</x:f>
        <x:v>0</x:v>
      </x:c>
      <x:c r="O971" s="91" t="n">
        <x:f>IF(N971&gt;0,Control!$B$17+Control!$B$8+1-N971,G971)-B971/100000</x:f>
        <x:v>537.8868431124557</x:v>
      </x:c>
      <x:c r="P971" s="73" t="n">
        <x:f>COUNTIF($O$968:$O$973,"&gt;"&amp;O971)+1</x:f>
        <x:v>5</x:v>
      </x:c>
      <x:c r="Q971" s="83" t="n">
        <x:f>MAX($G$968:$G$973)-G971</x:f>
        <x:v>16.681341552822232</x:v>
      </x:c>
      <x:c r="R971" s="73" t="str">
        <x:f>INDEX(TrackMap!$B$8:$B$141,H971)</x:f>
        <x:v>发车大直道</x:v>
      </x:c>
    </x:row>
    <x:row r="972" ht="20" customHeight="1">
      <x:c r="A972" s="73" t="n">
        <x:v>160</x:v>
      </x:c>
      <x:c r="B972" s="73" t="n">
        <x:v>5</x:v>
      </x:c>
      <x:c r="C972" s="73" t="str">
        <x:f>INDEX(Drivers!$B$8:$B$13,B972)</x:f>
        <x:v>青锋</x:v>
      </x:c>
      <x:c r="D972" s="83" t="n">
        <x:f>G966</x:f>
        <x:v>546.143441299747</x:v>
      </x:c>
      <x:c r="E972" s="83" t="str">
        <x:f>IF(A972=0,"GRID",IF(D972&gt;=Control!$B$17,"FINISHED",IF(AND(A972&gt;=INDEX(Drivers!$G$8:$G$13,B972),A972&lt;INDEX(Drivers!$G$8:$G$13,B972)+INDEX(Drivers!$J$8:$J$13,B972)),"PIT",IF(MOD(A972+INDEX(Drivers!$F$8:$F$13,B972),Control!$B$11)&lt;Control!$B$13,"BOOST","RACE"))))</x:f>
        <x:v>RACE</x:v>
      </x:c>
      <x:c r="F972" s="83" t="n">
        <x:f>IF(OR(E972="GRID",E972="FINISHED",E972="PIT"),0,MAX(Control!$B$15,(INDEX(Drivers!$D$8:$D$13,B972)+INDEX(Drivers!$E$8:$E$13,B972)*SIN((A972+INDEX(Drivers!$F$8:$F$13,B972)+Control!$B$16)*Control!$B$14))*INDEX(TrackMap!$M$8:$M$141,MOD(INT(D972)-1,Control!$B$7)+1)*IF(E972="BOOST",Control!$B$12,1)))</x:f>
        <x:v>3.6888653219020333</x:v>
      </x:c>
      <x:c r="G972" s="83" t="n">
        <x:f>IF(A972=0,D972,MIN(Control!$B$17,D972+F972))</x:f>
        <x:v>549.8323066216491</x:v>
      </x:c>
      <x:c r="H972" s="73" t="n">
        <x:f>MOD(INT(G972)-1,Control!$B$7)+1</x:f>
        <x:v>13</x:v>
      </x:c>
      <x:c r="I972" s="73" t="n">
        <x:f>MIN(Control!$B$6,MAX(1,INT(MAX(0,G972)/Control!$B$7)+1))</x:f>
        <x:v>5</x:v>
      </x:c>
      <x:c r="J972" s="73" t="n">
        <x:f>INDEX(Drivers!$H$8:$H$13,B972)</x:f>
        <x:v>1</x:v>
      </x:c>
      <x:c r="K972" s="73" t="n">
        <x:f>IF(J972=1,INDEX(TrackMap!$I$8:$I$141,H972),INDEX(TrackMap!$L$8:$L$141,H972))</x:f>
        <x:v>2903</x:v>
      </x:c>
      <x:c r="L972" s="73" t="str">
        <x:f>INDEX(TrackMap!$F$8:$F$141,H972)</x:f>
        <x:v>↑</x:v>
      </x:c>
      <x:c r="M972" s="87" t="n">
        <x:f>MAX(0,G972/Control!$B$17)</x:f>
        <x:v>0.8206452337636554</x:v>
      </x:c>
      <x:c r="N972" s="73" t="n">
        <x:f>IF(N966&gt;0,N966,IF(G972&gt;=Control!$B$17,A972,0))</x:f>
        <x:v>0</x:v>
      </x:c>
      <x:c r="O972" s="91" t="n">
        <x:f>IF(N972&gt;0,Control!$B$17+Control!$B$8+1-N972,G972)-B972/100000</x:f>
        <x:v>549.8322566216491</x:v>
      </x:c>
      <x:c r="P972" s="73" t="n">
        <x:f>COUNTIF($O$968:$O$973,"&gt;"&amp;O972)+1</x:f>
        <x:v>2</x:v>
      </x:c>
      <x:c r="Q972" s="83" t="n">
        <x:f>MAX($G$968:$G$973)-G972</x:f>
        <x:v>4.735918043628885</x:v>
      </x:c>
      <x:c r="R972" s="73" t="str">
        <x:f>INDEX(TrackMap!$B$8:$B$141,H972)</x:f>
        <x:v>西侧回弯</x:v>
      </x:c>
    </x:row>
    <x:row r="973" ht="20" customHeight="1">
      <x:c r="A973" s="73" t="n">
        <x:v>160</x:v>
      </x:c>
      <x:c r="B973" s="73" t="n">
        <x:v>6</x:v>
      </x:c>
      <x:c r="C973" s="73" t="str">
        <x:f>INDEX(Drivers!$B$8:$B$13,B973)</x:f>
        <x:v>玫速</x:v>
      </x:c>
      <x:c r="D973" s="83" t="n">
        <x:f>G967</x:f>
        <x:v>539.7788201203716</x:v>
      </x:c>
      <x:c r="E973" s="83" t="str">
        <x:f>IF(A973=0,"GRID",IF(D973&gt;=Control!$B$17,"FINISHED",IF(AND(A973&gt;=INDEX(Drivers!$G$8:$G$13,B973),A973&lt;INDEX(Drivers!$G$8:$G$13,B973)+INDEX(Drivers!$J$8:$J$13,B973)),"PIT",IF(MOD(A973+INDEX(Drivers!$F$8:$F$13,B973),Control!$B$11)&lt;Control!$B$13,"BOOST","RACE"))))</x:f>
        <x:v>RACE</x:v>
      </x:c>
      <x:c r="F973" s="83" t="n">
        <x:f>IF(OR(E973="GRID",E973="FINISHED",E973="PIT"),0,MAX(Control!$B$15,(INDEX(Drivers!$D$8:$D$13,B973)+INDEX(Drivers!$E$8:$E$13,B973)*SIN((A973+INDEX(Drivers!$F$8:$F$13,B973)+Control!$B$16)*Control!$B$14))*INDEX(TrackMap!$M$8:$M$141,MOD(INT(D973)-1,Control!$B$7)+1)*IF(E973="BOOST",Control!$B$12,1)))</x:f>
        <x:v>3.309746399999835</x:v>
      </x:c>
      <x:c r="G973" s="83" t="n">
        <x:f>IF(A973=0,D973,MIN(Control!$B$17,D973+F973))</x:f>
        <x:v>543.0885665203715</x:v>
      </x:c>
      <x:c r="H973" s="73" t="n">
        <x:f>MOD(INT(G973)-1,Control!$B$7)+1</x:f>
        <x:v>7</x:v>
      </x:c>
      <x:c r="I973" s="73" t="n">
        <x:f>MIN(Control!$B$6,MAX(1,INT(MAX(0,G973)/Control!$B$7)+1))</x:f>
        <x:v>5</x:v>
      </x:c>
      <x:c r="J973" s="73" t="n">
        <x:f>INDEX(Drivers!$H$8:$H$13,B973)</x:f>
        <x:v>2</x:v>
      </x:c>
      <x:c r="K973" s="73" t="n">
        <x:f>IF(J973=1,INDEX(TrackMap!$I$8:$I$141,H973),INDEX(TrackMap!$L$8:$L$141,H973))</x:f>
        <x:v>3010</x:v>
      </x:c>
      <x:c r="L973" s="73" t="str">
        <x:f>INDEX(TrackMap!$F$8:$F$141,H973)</x:f>
        <x:v>←</x:v>
      </x:c>
      <x:c r="M973" s="87" t="n">
        <x:f>MAX(0,G973/Control!$B$17)</x:f>
        <x:v>0.8105799500304052</x:v>
      </x:c>
      <x:c r="N973" s="73" t="n">
        <x:f>IF(N967&gt;0,N967,IF(G973&gt;=Control!$B$17,A973,0))</x:f>
        <x:v>0</x:v>
      </x:c>
      <x:c r="O973" s="91" t="n">
        <x:f>IF(N973&gt;0,Control!$B$17+Control!$B$8+1-N973,G973)-B973/100000</x:f>
        <x:v>543.0885065203715</x:v>
      </x:c>
      <x:c r="P973" s="73" t="n">
        <x:f>COUNTIF($O$968:$O$973,"&gt;"&amp;O973)+1</x:f>
        <x:v>4</x:v>
      </x:c>
      <x:c r="Q973" s="83" t="n">
        <x:f>MAX($G$968:$G$973)-G973</x:f>
        <x:v>11.479658144906466</x:v>
      </x:c>
      <x:c r="R973" s="73" t="str">
        <x:f>INDEX(TrackMap!$B$8:$B$141,H973)</x:f>
        <x:v>发车大直道</x:v>
      </x:c>
    </x:row>
    <x:row r="974" ht="20" customHeight="1">
      <x:c r="A974" s="73" t="n">
        <x:v>161</x:v>
      </x:c>
      <x:c r="B974" s="73" t="n">
        <x:v>1</x:v>
      </x:c>
      <x:c r="C974" s="73" t="str">
        <x:f>INDEX(Drivers!$B$8:$B$13,B974)</x:f>
        <x:v>赤焰</x:v>
      </x:c>
      <x:c r="D974" s="83" t="n">
        <x:f>G968</x:f>
        <x:v>554.568224665278</x:v>
      </x:c>
      <x:c r="E974" s="83" t="str">
        <x:f>IF(A974=0,"GRID",IF(D974&gt;=Control!$B$17,"FINISHED",IF(AND(A974&gt;=INDEX(Drivers!$G$8:$G$13,B974),A974&lt;INDEX(Drivers!$G$8:$G$13,B974)+INDEX(Drivers!$J$8:$J$13,B974)),"PIT",IF(MOD(A974+INDEX(Drivers!$F$8:$F$13,B974),Control!$B$11)&lt;Control!$B$13,"BOOST","RACE"))))</x:f>
        <x:v>RACE</x:v>
      </x:c>
      <x:c r="F974" s="83" t="n">
        <x:f>IF(OR(E974="GRID",E974="FINISHED",E974="PIT"),0,MAX(Control!$B$15,(INDEX(Drivers!$D$8:$D$13,B974)+INDEX(Drivers!$E$8:$E$13,B974)*SIN((A974+INDEX(Drivers!$F$8:$F$13,B974)+Control!$B$16)*Control!$B$14))*INDEX(TrackMap!$M$8:$M$141,MOD(INT(D974)-1,Control!$B$7)+1)*IF(E974="BOOST",Control!$B$12,1)))</x:f>
        <x:v>3.2503792139000263</x:v>
      </x:c>
      <x:c r="G974" s="83" t="n">
        <x:f>IF(A974=0,D974,MIN(Control!$B$17,D974+F974))</x:f>
        <x:v>557.818603879178</x:v>
      </x:c>
      <x:c r="H974" s="73" t="n">
        <x:f>MOD(INT(G974)-1,Control!$B$7)+1</x:f>
        <x:v>21</x:v>
      </x:c>
      <x:c r="I974" s="73" t="n">
        <x:f>MIN(Control!$B$6,MAX(1,INT(MAX(0,G974)/Control!$B$7)+1))</x:f>
        <x:v>5</x:v>
      </x:c>
      <x:c r="J974" s="73" t="n">
        <x:f>INDEX(Drivers!$H$8:$H$13,B974)</x:f>
        <x:v>1</x:v>
      </x:c>
      <x:c r="K974" s="73" t="n">
        <x:f>IF(J974=1,INDEX(TrackMap!$I$8:$I$141,H974),INDEX(TrackMap!$L$8:$L$141,H974))</x:f>
        <x:v>2206</x:v>
      </x:c>
      <x:c r="L974" s="73" t="str">
        <x:f>INDEX(TrackMap!$F$8:$F$141,H974)</x:f>
        <x:v>→</x:v>
      </x:c>
      <x:c r="M974" s="87" t="n">
        <x:f>MAX(0,G974/Control!$B$17)</x:f>
        <x:v>0.8325650804166835</x:v>
      </x:c>
      <x:c r="N974" s="73" t="n">
        <x:f>IF(N968&gt;0,N968,IF(G974&gt;=Control!$B$17,A974,0))</x:f>
        <x:v>0</x:v>
      </x:c>
      <x:c r="O974" s="91" t="n">
        <x:f>IF(N974&gt;0,Control!$B$17+Control!$B$8+1-N974,G974)-B974/100000</x:f>
        <x:v>557.818593879178</x:v>
      </x:c>
      <x:c r="P974" s="73" t="n">
        <x:f>COUNTIF($O$974:$O$979,"&gt;"&amp;O974)+1</x:f>
        <x:v>1</x:v>
      </x:c>
      <x:c r="Q974" s="83" t="n">
        <x:f>MAX($G$974:$G$979)-G974</x:f>
        <x:v>0</x:v>
      </x:c>
      <x:c r="R974" s="73" t="str">
        <x:f>INDEX(TrackMap!$B$8:$B$141,H974)</x:f>
        <x:v>短直道</x:v>
      </x:c>
    </x:row>
    <x:row r="975" ht="20" customHeight="1">
      <x:c r="A975" s="73" t="n">
        <x:v>161</x:v>
      </x:c>
      <x:c r="B975" s="73" t="n">
        <x:v>2</x:v>
      </x:c>
      <x:c r="C975" s="73" t="str">
        <x:f>INDEX(Drivers!$B$8:$B$13,B975)</x:f>
        <x:v>蓝电</x:v>
      </x:c>
      <x:c r="D975" s="83" t="n">
        <x:f>G969</x:f>
        <x:v>534.7204372404788</x:v>
      </x:c>
      <x:c r="E975" s="83" t="str">
        <x:f>IF(A975=0,"GRID",IF(D975&gt;=Control!$B$17,"FINISHED",IF(AND(A975&gt;=INDEX(Drivers!$G$8:$G$13,B975),A975&lt;INDEX(Drivers!$G$8:$G$13,B975)+INDEX(Drivers!$J$8:$J$13,B975)),"PIT",IF(MOD(A975+INDEX(Drivers!$F$8:$F$13,B975),Control!$B$11)&lt;Control!$B$13,"BOOST","RACE"))))</x:f>
        <x:v>RACE</x:v>
      </x:c>
      <x:c r="F975" s="83" t="n">
        <x:f>IF(OR(E975="GRID",E975="FINISHED",E975="PIT"),0,MAX(Control!$B$15,(INDEX(Drivers!$D$8:$D$13,B975)+INDEX(Drivers!$E$8:$E$13,B975)*SIN((A975+INDEX(Drivers!$F$8:$F$13,B975)+Control!$B$16)*Control!$B$14))*INDEX(TrackMap!$M$8:$M$141,MOD(INT(D975)-1,Control!$B$7)+1)*IF(E975="BOOST",Control!$B$12,1)))</x:f>
        <x:v>2.992471002062901</x:v>
      </x:c>
      <x:c r="G975" s="83" t="n">
        <x:f>IF(A975=0,D975,MIN(Control!$B$17,D975+F975))</x:f>
        <x:v>537.7129082425416</x:v>
      </x:c>
      <x:c r="H975" s="73" t="n">
        <x:f>MOD(INT(G975)-1,Control!$B$7)+1</x:f>
        <x:v>1</x:v>
      </x:c>
      <x:c r="I975" s="73" t="n">
        <x:f>MIN(Control!$B$6,MAX(1,INT(MAX(0,G975)/Control!$B$7)+1))</x:f>
        <x:v>5</x:v>
      </x:c>
      <x:c r="J975" s="73" t="n">
        <x:f>INDEX(Drivers!$H$8:$H$13,B975)</x:f>
        <x:v>2</x:v>
      </x:c>
      <x:c r="K975" s="73" t="n">
        <x:f>IF(J975=1,INDEX(TrackMap!$I$8:$I$141,H975),INDEX(TrackMap!$L$8:$L$141,H975))</x:f>
        <x:v>3016</x:v>
      </x:c>
      <x:c r="L975" s="73" t="str">
        <x:f>INDEX(TrackMap!$F$8:$F$141,H975)</x:f>
        <x:v>←</x:v>
      </x:c>
      <x:c r="M975" s="87" t="n">
        <x:f>MAX(0,G975/Control!$B$17)</x:f>
        <x:v>0.8025565794664801</x:v>
      </x:c>
      <x:c r="N975" s="73" t="n">
        <x:f>IF(N969&gt;0,N969,IF(G975&gt;=Control!$B$17,A975,0))</x:f>
        <x:v>0</x:v>
      </x:c>
      <x:c r="O975" s="91" t="n">
        <x:f>IF(N975&gt;0,Control!$B$17+Control!$B$8+1-N975,G975)-B975/100000</x:f>
        <x:v>537.7128882425417</x:v>
      </x:c>
      <x:c r="P975" s="73" t="n">
        <x:f>COUNTIF($O$974:$O$979,"&gt;"&amp;O975)+1</x:f>
        <x:v>6</x:v>
      </x:c>
      <x:c r="Q975" s="83" t="n">
        <x:f>MAX($G$974:$G$979)-G975</x:f>
        <x:v>20.10569563663637</x:v>
      </x:c>
      <x:c r="R975" s="73" t="str">
        <x:f>INDEX(TrackMap!$B$8:$B$141,H975)</x:f>
        <x:v>发车大直道</x:v>
      </x:c>
    </x:row>
    <x:row r="976" ht="20" customHeight="1">
      <x:c r="A976" s="73" t="n">
        <x:v>161</x:v>
      </x:c>
      <x:c r="B976" s="73" t="n">
        <x:v>3</x:v>
      </x:c>
      <x:c r="C976" s="73" t="str">
        <x:f>INDEX(Drivers!$B$8:$B$13,B976)</x:f>
        <x:v>金翼</x:v>
      </x:c>
      <x:c r="D976" s="83" t="n">
        <x:f>G970</x:f>
        <x:v>547.5379760716929</x:v>
      </x:c>
      <x:c r="E976" s="83" t="str">
        <x:f>IF(A976=0,"GRID",IF(D976&gt;=Control!$B$17,"FINISHED",IF(AND(A976&gt;=INDEX(Drivers!$G$8:$G$13,B976),A976&lt;INDEX(Drivers!$G$8:$G$13,B976)+INDEX(Drivers!$J$8:$J$13,B976)),"PIT",IF(MOD(A976+INDEX(Drivers!$F$8:$F$13,B976),Control!$B$11)&lt;Control!$B$13,"BOOST","RACE"))))</x:f>
        <x:v>RACE</x:v>
      </x:c>
      <x:c r="F976" s="83" t="n">
        <x:f>IF(OR(E976="GRID",E976="FINISHED",E976="PIT"),0,MAX(Control!$B$15,(INDEX(Drivers!$D$8:$D$13,B976)+INDEX(Drivers!$E$8:$E$13,B976)*SIN((A976+INDEX(Drivers!$F$8:$F$13,B976)+Control!$B$16)*Control!$B$14))*INDEX(TrackMap!$M$8:$M$141,MOD(INT(D976)-1,Control!$B$7)+1)*IF(E976="BOOST",Control!$B$12,1)))</x:f>
        <x:v>4.0638496375686834</x:v>
      </x:c>
      <x:c r="G976" s="83" t="n">
        <x:f>IF(A976=0,D976,MIN(Control!$B$17,D976+F976))</x:f>
        <x:v>551.6018257092616</x:v>
      </x:c>
      <x:c r="H976" s="73" t="n">
        <x:f>MOD(INT(G976)-1,Control!$B$7)+1</x:f>
        <x:v>15</x:v>
      </x:c>
      <x:c r="I976" s="73" t="n">
        <x:f>MIN(Control!$B$6,MAX(1,INT(MAX(0,G976)/Control!$B$7)+1))</x:f>
        <x:v>5</x:v>
      </x:c>
      <x:c r="J976" s="73" t="n">
        <x:f>INDEX(Drivers!$H$8:$H$13,B976)</x:f>
        <x:v>1</x:v>
      </x:c>
      <x:c r="K976" s="73" t="n">
        <x:f>IF(J976=1,INDEX(TrackMap!$I$8:$I$141,H976),INDEX(TrackMap!$L$8:$L$141,H976))</x:f>
        <x:v>2703</x:v>
      </x:c>
      <x:c r="L976" s="73" t="str">
        <x:f>INDEX(TrackMap!$F$8:$F$141,H976)</x:f>
        <x:v>↑</x:v>
      </x:c>
      <x:c r="M976" s="87" t="n">
        <x:f>MAX(0,G976/Control!$B$17)</x:f>
        <x:v>0.8232863070287486</x:v>
      </x:c>
      <x:c r="N976" s="73" t="n">
        <x:f>IF(N970&gt;0,N970,IF(G976&gt;=Control!$B$17,A976,0))</x:f>
        <x:v>0</x:v>
      </x:c>
      <x:c r="O976" s="91" t="n">
        <x:f>IF(N976&gt;0,Control!$B$17+Control!$B$8+1-N976,G976)-B976/100000</x:f>
        <x:v>551.6017957092615</x:v>
      </x:c>
      <x:c r="P976" s="73" t="n">
        <x:f>COUNTIF($O$974:$O$979,"&gt;"&amp;O976)+1</x:f>
        <x:v>3</x:v>
      </x:c>
      <x:c r="Q976" s="83" t="n">
        <x:f>MAX($G$974:$G$979)-G976</x:f>
        <x:v>6.216778169916438</x:v>
      </x:c>
      <x:c r="R976" s="73" t="str">
        <x:f>INDEX(TrackMap!$B$8:$B$141,H976)</x:f>
        <x:v>西侧回弯</x:v>
      </x:c>
    </x:row>
    <x:row r="977" ht="20" customHeight="1">
      <x:c r="A977" s="73" t="n">
        <x:v>161</x:v>
      </x:c>
      <x:c r="B977" s="73" t="n">
        <x:v>4</x:v>
      </x:c>
      <x:c r="C977" s="73" t="str">
        <x:f>INDEX(Drivers!$B$8:$B$13,B977)</x:f>
        <x:v>紫影</x:v>
      </x:c>
      <x:c r="D977" s="83" t="n">
        <x:f>G971</x:f>
        <x:v>537.8868831124557</x:v>
      </x:c>
      <x:c r="E977" s="83" t="str">
        <x:f>IF(A977=0,"GRID",IF(D977&gt;=Control!$B$17,"FINISHED",IF(AND(A977&gt;=INDEX(Drivers!$G$8:$G$13,B977),A977&lt;INDEX(Drivers!$G$8:$G$13,B977)+INDEX(Drivers!$J$8:$J$13,B977)),"PIT",IF(MOD(A977+INDEX(Drivers!$F$8:$F$13,B977),Control!$B$11)&lt;Control!$B$13,"BOOST","RACE"))))</x:f>
        <x:v>RACE</x:v>
      </x:c>
      <x:c r="F977" s="83" t="n">
        <x:f>IF(OR(E977="GRID",E977="FINISHED",E977="PIT"),0,MAX(Control!$B$15,(INDEX(Drivers!$D$8:$D$13,B977)+INDEX(Drivers!$E$8:$E$13,B977)*SIN((A977+INDEX(Drivers!$F$8:$F$13,B977)+Control!$B$16)*Control!$B$14))*INDEX(TrackMap!$M$8:$M$141,MOD(INT(D977)-1,Control!$B$7)+1)*IF(E977="BOOST",Control!$B$12,1)))</x:f>
        <x:v>2.690224525995275</x:v>
      </x:c>
      <x:c r="G977" s="83" t="n">
        <x:f>IF(A977=0,D977,MIN(Control!$B$17,D977+F977))</x:f>
        <x:v>540.577107638451</x:v>
      </x:c>
      <x:c r="H977" s="73" t="n">
        <x:f>MOD(INT(G977)-1,Control!$B$7)+1</x:f>
        <x:v>4</x:v>
      </x:c>
      <x:c r="I977" s="73" t="n">
        <x:f>MIN(Control!$B$6,MAX(1,INT(MAX(0,G977)/Control!$B$7)+1))</x:f>
        <x:v>5</x:v>
      </x:c>
      <x:c r="J977" s="73" t="n">
        <x:f>INDEX(Drivers!$H$8:$H$13,B977)</x:f>
        <x:v>2</x:v>
      </x:c>
      <x:c r="K977" s="73" t="n">
        <x:f>IF(J977=1,INDEX(TrackMap!$I$8:$I$141,H977),INDEX(TrackMap!$L$8:$L$141,H977))</x:f>
        <x:v>3013</x:v>
      </x:c>
      <x:c r="L977" s="73" t="str">
        <x:f>INDEX(TrackMap!$F$8:$F$141,H977)</x:f>
        <x:v>←</x:v>
      </x:c>
      <x:c r="M977" s="87" t="n">
        <x:f>MAX(0,G977/Control!$B$17)</x:f>
        <x:v>0.8068315039379866</x:v>
      </x:c>
      <x:c r="N977" s="73" t="n">
        <x:f>IF(N971&gt;0,N971,IF(G977&gt;=Control!$B$17,A977,0))</x:f>
        <x:v>0</x:v>
      </x:c>
      <x:c r="O977" s="91" t="n">
        <x:f>IF(N977&gt;0,Control!$B$17+Control!$B$8+1-N977,G977)-B977/100000</x:f>
        <x:v>540.577067638451</x:v>
      </x:c>
      <x:c r="P977" s="73" t="n">
        <x:f>COUNTIF($O$974:$O$979,"&gt;"&amp;O977)+1</x:f>
        <x:v>5</x:v>
      </x:c>
      <x:c r="Q977" s="83" t="n">
        <x:f>MAX($G$974:$G$979)-G977</x:f>
        <x:v>17.241496240726974</x:v>
      </x:c>
      <x:c r="R977" s="73" t="str">
        <x:f>INDEX(TrackMap!$B$8:$B$141,H977)</x:f>
        <x:v>发车大直道</x:v>
      </x:c>
    </x:row>
    <x:row r="978" ht="20" customHeight="1">
      <x:c r="A978" s="73" t="n">
        <x:v>161</x:v>
      </x:c>
      <x:c r="B978" s="73" t="n">
        <x:v>5</x:v>
      </x:c>
      <x:c r="C978" s="73" t="str">
        <x:f>INDEX(Drivers!$B$8:$B$13,B978)</x:f>
        <x:v>青锋</x:v>
      </x:c>
      <x:c r="D978" s="83" t="n">
        <x:f>G972</x:f>
        <x:v>549.8323066216491</x:v>
      </x:c>
      <x:c r="E978" s="83" t="str">
        <x:f>IF(A978=0,"GRID",IF(D978&gt;=Control!$B$17,"FINISHED",IF(AND(A978&gt;=INDEX(Drivers!$G$8:$G$13,B978),A978&lt;INDEX(Drivers!$G$8:$G$13,B978)+INDEX(Drivers!$J$8:$J$13,B978)),"PIT",IF(MOD(A978+INDEX(Drivers!$F$8:$F$13,B978),Control!$B$11)&lt;Control!$B$13,"BOOST","RACE"))))</x:f>
        <x:v>RACE</x:v>
      </x:c>
      <x:c r="F978" s="83" t="n">
        <x:f>IF(OR(E978="GRID",E978="FINISHED",E978="PIT"),0,MAX(Control!$B$15,(INDEX(Drivers!$D$8:$D$13,B978)+INDEX(Drivers!$E$8:$E$13,B978)*SIN((A978+INDEX(Drivers!$F$8:$F$13,B978)+Control!$B$16)*Control!$B$14))*INDEX(TrackMap!$M$8:$M$141,MOD(INT(D978)-1,Control!$B$7)+1)*IF(E978="BOOST",Control!$B$12,1)))</x:f>
        <x:v>2.7284793578036046</x:v>
      </x:c>
      <x:c r="G978" s="83" t="n">
        <x:f>IF(A978=0,D978,MIN(Control!$B$17,D978+F978))</x:f>
        <x:v>552.5607859794527</x:v>
      </x:c>
      <x:c r="H978" s="73" t="n">
        <x:f>MOD(INT(G978)-1,Control!$B$7)+1</x:f>
        <x:v>16</x:v>
      </x:c>
      <x:c r="I978" s="73" t="n">
        <x:f>MIN(Control!$B$6,MAX(1,INT(MAX(0,G978)/Control!$B$7)+1))</x:f>
        <x:v>5</x:v>
      </x:c>
      <x:c r="J978" s="73" t="n">
        <x:f>INDEX(Drivers!$H$8:$H$13,B978)</x:f>
        <x:v>1</x:v>
      </x:c>
      <x:c r="K978" s="73" t="n">
        <x:f>IF(J978=1,INDEX(TrackMap!$I$8:$I$141,H978),INDEX(TrackMap!$L$8:$L$141,H978))</x:f>
        <x:v>2603</x:v>
      </x:c>
      <x:c r="L978" s="73" t="str">
        <x:f>INDEX(TrackMap!$F$8:$F$141,H978)</x:f>
        <x:v>↑</x:v>
      </x:c>
      <x:c r="M978" s="87" t="n">
        <x:f>MAX(0,G978/Control!$B$17)</x:f>
        <x:v>0.8247175910141085</x:v>
      </x:c>
      <x:c r="N978" s="73" t="n">
        <x:f>IF(N972&gt;0,N972,IF(G978&gt;=Control!$B$17,A978,0))</x:f>
        <x:v>0</x:v>
      </x:c>
      <x:c r="O978" s="91" t="n">
        <x:f>IF(N978&gt;0,Control!$B$17+Control!$B$8+1-N978,G978)-B978/100000</x:f>
        <x:v>552.5607359794527</x:v>
      </x:c>
      <x:c r="P978" s="73" t="n">
        <x:f>COUNTIF($O$974:$O$979,"&gt;"&amp;O978)+1</x:f>
        <x:v>2</x:v>
      </x:c>
      <x:c r="Q978" s="83" t="n">
        <x:f>MAX($G$974:$G$979)-G978</x:f>
        <x:v>5.257817899725296</x:v>
      </x:c>
      <x:c r="R978" s="73" t="str">
        <x:f>INDEX(TrackMap!$B$8:$B$141,H978)</x:f>
        <x:v>西侧回弯</x:v>
      </x:c>
    </x:row>
    <x:row r="979" ht="20" customHeight="1">
      <x:c r="A979" s="73" t="n">
        <x:v>161</x:v>
      </x:c>
      <x:c r="B979" s="73" t="n">
        <x:v>6</x:v>
      </x:c>
      <x:c r="C979" s="73" t="str">
        <x:f>INDEX(Drivers!$B$8:$B$13,B979)</x:f>
        <x:v>玫速</x:v>
      </x:c>
      <x:c r="D979" s="83" t="n">
        <x:f>G973</x:f>
        <x:v>543.0885665203715</x:v>
      </x:c>
      <x:c r="E979" s="83" t="str">
        <x:f>IF(A979=0,"GRID",IF(D979&gt;=Control!$B$17,"FINISHED",IF(AND(A979&gt;=INDEX(Drivers!$G$8:$G$13,B979),A979&lt;INDEX(Drivers!$G$8:$G$13,B979)+INDEX(Drivers!$J$8:$J$13,B979)),"PIT",IF(MOD(A979+INDEX(Drivers!$F$8:$F$13,B979),Control!$B$11)&lt;Control!$B$13,"BOOST","RACE"))))</x:f>
        <x:v>RACE</x:v>
      </x:c>
      <x:c r="F979" s="83" t="n">
        <x:f>IF(OR(E979="GRID",E979="FINISHED",E979="PIT"),0,MAX(Control!$B$15,(INDEX(Drivers!$D$8:$D$13,B979)+INDEX(Drivers!$E$8:$E$13,B979)*SIN((A979+INDEX(Drivers!$F$8:$F$13,B979)+Control!$B$16)*Control!$B$14))*INDEX(TrackMap!$M$8:$M$141,MOD(INT(D979)-1,Control!$B$7)+1)*IF(E979="BOOST",Control!$B$12,1)))</x:f>
        <x:v>3.50553405740273</x:v>
      </x:c>
      <x:c r="G979" s="83" t="n">
        <x:f>IF(A979=0,D979,MIN(Control!$B$17,D979+F979))</x:f>
        <x:v>546.5941005777743</x:v>
      </x:c>
      <x:c r="H979" s="73" t="n">
        <x:f>MOD(INT(G979)-1,Control!$B$7)+1</x:f>
        <x:v>10</x:v>
      </x:c>
      <x:c r="I979" s="73" t="n">
        <x:f>MIN(Control!$B$6,MAX(1,INT(MAX(0,G979)/Control!$B$7)+1))</x:f>
        <x:v>5</x:v>
      </x:c>
      <x:c r="J979" s="73" t="n">
        <x:f>INDEX(Drivers!$H$8:$H$13,B979)</x:f>
        <x:v>2</x:v>
      </x:c>
      <x:c r="K979" s="73" t="n">
        <x:f>IF(J979=1,INDEX(TrackMap!$I$8:$I$141,H979),INDEX(TrackMap!$L$8:$L$141,H979))</x:f>
        <x:v>3007</x:v>
      </x:c>
      <x:c r="L979" s="73" t="str">
        <x:f>INDEX(TrackMap!$F$8:$F$141,H979)</x:f>
        <x:v>←</x:v>
      </x:c>
      <x:c r="M979" s="87" t="n">
        <x:f>MAX(0,G979/Control!$B$17)</x:f>
        <x:v>0.8158120904145885</x:v>
      </x:c>
      <x:c r="N979" s="73" t="n">
        <x:f>IF(N973&gt;0,N973,IF(G979&gt;=Control!$B$17,A979,0))</x:f>
        <x:v>0</x:v>
      </x:c>
      <x:c r="O979" s="91" t="n">
        <x:f>IF(N979&gt;0,Control!$B$17+Control!$B$8+1-N979,G979)-B979/100000</x:f>
        <x:v>546.5940405777743</x:v>
      </x:c>
      <x:c r="P979" s="73" t="n">
        <x:f>COUNTIF($O$974:$O$979,"&gt;"&amp;O979)+1</x:f>
        <x:v>4</x:v>
      </x:c>
      <x:c r="Q979" s="83" t="n">
        <x:f>MAX($G$974:$G$979)-G979</x:f>
        <x:v>11.224503301403729</x:v>
      </x:c>
      <x:c r="R979" s="73" t="str">
        <x:f>INDEX(TrackMap!$B$8:$B$141,H979)</x:f>
        <x:v>发车大直道</x:v>
      </x:c>
    </x:row>
    <x:row r="980" ht="20" customHeight="1">
      <x:c r="A980" s="73" t="n">
        <x:v>162</x:v>
      </x:c>
      <x:c r="B980" s="73" t="n">
        <x:v>1</x:v>
      </x:c>
      <x:c r="C980" s="73" t="str">
        <x:f>INDEX(Drivers!$B$8:$B$13,B980)</x:f>
        <x:v>赤焰</x:v>
      </x:c>
      <x:c r="D980" s="83" t="n">
        <x:f>G974</x:f>
        <x:v>557.818603879178</x:v>
      </x:c>
      <x:c r="E980" s="83" t="str">
        <x:f>IF(A980=0,"GRID",IF(D980&gt;=Control!$B$17,"FINISHED",IF(AND(A980&gt;=INDEX(Drivers!$G$8:$G$13,B980),A980&lt;INDEX(Drivers!$G$8:$G$13,B980)+INDEX(Drivers!$J$8:$J$13,B980)),"PIT",IF(MOD(A980+INDEX(Drivers!$F$8:$F$13,B980),Control!$B$11)&lt;Control!$B$13,"BOOST","RACE"))))</x:f>
        <x:v>RACE</x:v>
      </x:c>
      <x:c r="F980" s="83" t="n">
        <x:f>IF(OR(E980="GRID",E980="FINISHED",E980="PIT"),0,MAX(Control!$B$15,(INDEX(Drivers!$D$8:$D$13,B980)+INDEX(Drivers!$E$8:$E$13,B980)*SIN((A980+INDEX(Drivers!$F$8:$F$13,B980)+Control!$B$16)*Control!$B$14))*INDEX(TrackMap!$M$8:$M$141,MOD(INT(D980)-1,Control!$B$7)+1)*IF(E980="BOOST",Control!$B$12,1)))</x:f>
        <x:v>3.1702729763146653</x:v>
      </x:c>
      <x:c r="G980" s="83" t="n">
        <x:f>IF(A980=0,D980,MIN(Control!$B$17,D980+F980))</x:f>
        <x:v>560.9888768554927</x:v>
      </x:c>
      <x:c r="H980" s="73" t="n">
        <x:f>MOD(INT(G980)-1,Control!$B$7)+1</x:f>
        <x:v>24</x:v>
      </x:c>
      <x:c r="I980" s="73" t="n">
        <x:f>MIN(Control!$B$6,MAX(1,INT(MAX(0,G980)/Control!$B$7)+1))</x:f>
        <x:v>5</x:v>
      </x:c>
      <x:c r="J980" s="73" t="n">
        <x:f>INDEX(Drivers!$H$8:$H$13,B980)</x:f>
        <x:v>1</x:v>
      </x:c>
      <x:c r="K980" s="73" t="n">
        <x:f>IF(J980=1,INDEX(TrackMap!$I$8:$I$141,H980),INDEX(TrackMap!$L$8:$L$141,H980))</x:f>
        <x:v>2209</x:v>
      </x:c>
      <x:c r="L980" s="73" t="str">
        <x:f>INDEX(TrackMap!$F$8:$F$141,H980)</x:f>
        <x:v>→</x:v>
      </x:c>
      <x:c r="M980" s="87" t="n">
        <x:f>MAX(0,G980/Control!$B$17)</x:f>
        <x:v>0.837296831127601</x:v>
      </x:c>
      <x:c r="N980" s="73" t="n">
        <x:f>IF(N974&gt;0,N974,IF(G980&gt;=Control!$B$17,A980,0))</x:f>
        <x:v>0</x:v>
      </x:c>
      <x:c r="O980" s="91" t="n">
        <x:f>IF(N980&gt;0,Control!$B$17+Control!$B$8+1-N980,G980)-B980/100000</x:f>
        <x:v>560.9888668554927</x:v>
      </x:c>
      <x:c r="P980" s="73" t="n">
        <x:f>COUNTIF($O$980:$O$985,"&gt;"&amp;O980)+1</x:f>
        <x:v>1</x:v>
      </x:c>
      <x:c r="Q980" s="83" t="n">
        <x:f>MAX($G$980:$G$985)-G980</x:f>
        <x:v>0</x:v>
      </x:c>
      <x:c r="R980" s="73" t="str">
        <x:f>INDEX(TrackMap!$B$8:$B$141,H980)</x:f>
        <x:v>短直道</x:v>
      </x:c>
    </x:row>
    <x:row r="981" ht="20" customHeight="1">
      <x:c r="A981" s="73" t="n">
        <x:v>162</x:v>
      </x:c>
      <x:c r="B981" s="73" t="n">
        <x:v>2</x:v>
      </x:c>
      <x:c r="C981" s="73" t="str">
        <x:f>INDEX(Drivers!$B$8:$B$13,B981)</x:f>
        <x:v>蓝电</x:v>
      </x:c>
      <x:c r="D981" s="83" t="n">
        <x:f>G975</x:f>
        <x:v>537.7129082425416</x:v>
      </x:c>
      <x:c r="E981" s="83" t="str">
        <x:f>IF(A981=0,"GRID",IF(D981&gt;=Control!$B$17,"FINISHED",IF(AND(A981&gt;=INDEX(Drivers!$G$8:$G$13,B981),A981&lt;INDEX(Drivers!$G$8:$G$13,B981)+INDEX(Drivers!$J$8:$J$13,B981)),"PIT",IF(MOD(A981+INDEX(Drivers!$F$8:$F$13,B981),Control!$B$11)&lt;Control!$B$13,"BOOST","RACE"))))</x:f>
        <x:v>RACE</x:v>
      </x:c>
      <x:c r="F981" s="83" t="n">
        <x:f>IF(OR(E981="GRID",E981="FINISHED",E981="PIT"),0,MAX(Control!$B$15,(INDEX(Drivers!$D$8:$D$13,B981)+INDEX(Drivers!$E$8:$E$13,B981)*SIN((A981+INDEX(Drivers!$F$8:$F$13,B981)+Control!$B$16)*Control!$B$14))*INDEX(TrackMap!$M$8:$M$141,MOD(INT(D981)-1,Control!$B$7)+1)*IF(E981="BOOST",Control!$B$12,1)))</x:f>
        <x:v>2.3308146058137975</x:v>
      </x:c>
      <x:c r="G981" s="83" t="n">
        <x:f>IF(A981=0,D981,MIN(Control!$B$17,D981+F981))</x:f>
        <x:v>540.0437228483554</x:v>
      </x:c>
      <x:c r="H981" s="73" t="n">
        <x:f>MOD(INT(G981)-1,Control!$B$7)+1</x:f>
        <x:v>4</x:v>
      </x:c>
      <x:c r="I981" s="73" t="n">
        <x:f>MIN(Control!$B$6,MAX(1,INT(MAX(0,G981)/Control!$B$7)+1))</x:f>
        <x:v>5</x:v>
      </x:c>
      <x:c r="J981" s="73" t="n">
        <x:f>INDEX(Drivers!$H$8:$H$13,B981)</x:f>
        <x:v>2</x:v>
      </x:c>
      <x:c r="K981" s="73" t="n">
        <x:f>IF(J981=1,INDEX(TrackMap!$I$8:$I$141,H981),INDEX(TrackMap!$L$8:$L$141,H981))</x:f>
        <x:v>3013</x:v>
      </x:c>
      <x:c r="L981" s="73" t="str">
        <x:f>INDEX(TrackMap!$F$8:$F$141,H981)</x:f>
        <x:v>←</x:v>
      </x:c>
      <x:c r="M981" s="87" t="n">
        <x:f>MAX(0,G981/Control!$B$17)</x:f>
        <x:v>0.8060354072363514</x:v>
      </x:c>
      <x:c r="N981" s="73" t="n">
        <x:f>IF(N975&gt;0,N975,IF(G981&gt;=Control!$B$17,A981,0))</x:f>
        <x:v>0</x:v>
      </x:c>
      <x:c r="O981" s="91" t="n">
        <x:f>IF(N981&gt;0,Control!$B$17+Control!$B$8+1-N981,G981)-B981/100000</x:f>
        <x:v>540.0437028483555</x:v>
      </x:c>
      <x:c r="P981" s="73" t="n">
        <x:f>COUNTIF($O$980:$O$985,"&gt;"&amp;O981)+1</x:f>
        <x:v>6</x:v>
      </x:c>
      <x:c r="Q981" s="83" t="n">
        <x:f>MAX($G$980:$G$985)-G981</x:f>
        <x:v>20.945154007137262</x:v>
      </x:c>
      <x:c r="R981" s="73" t="str">
        <x:f>INDEX(TrackMap!$B$8:$B$141,H981)</x:f>
        <x:v>发车大直道</x:v>
      </x:c>
    </x:row>
    <x:row r="982" ht="20" customHeight="1">
      <x:c r="A982" s="73" t="n">
        <x:v>162</x:v>
      </x:c>
      <x:c r="B982" s="73" t="n">
        <x:v>3</x:v>
      </x:c>
      <x:c r="C982" s="73" t="str">
        <x:f>INDEX(Drivers!$B$8:$B$13,B982)</x:f>
        <x:v>金翼</x:v>
      </x:c>
      <x:c r="D982" s="83" t="n">
        <x:f>G976</x:f>
        <x:v>551.6018257092616</x:v>
      </x:c>
      <x:c r="E982" s="83" t="str">
        <x:f>IF(A982=0,"GRID",IF(D982&gt;=Control!$B$17,"FINISHED",IF(AND(A982&gt;=INDEX(Drivers!$G$8:$G$13,B982),A982&lt;INDEX(Drivers!$G$8:$G$13,B982)+INDEX(Drivers!$J$8:$J$13,B982)),"PIT",IF(MOD(A982+INDEX(Drivers!$F$8:$F$13,B982),Control!$B$11)&lt;Control!$B$13,"BOOST","RACE"))))</x:f>
        <x:v>RACE</x:v>
      </x:c>
      <x:c r="F982" s="83" t="n">
        <x:f>IF(OR(E982="GRID",E982="FINISHED",E982="PIT"),0,MAX(Control!$B$15,(INDEX(Drivers!$D$8:$D$13,B982)+INDEX(Drivers!$E$8:$E$13,B982)*SIN((A982+INDEX(Drivers!$F$8:$F$13,B982)+Control!$B$16)*Control!$B$14))*INDEX(TrackMap!$M$8:$M$141,MOD(INT(D982)-1,Control!$B$7)+1)*IF(E982="BOOST",Control!$B$12,1)))</x:f>
        <x:v>3.2473290051014256</x:v>
      </x:c>
      <x:c r="G982" s="83" t="n">
        <x:f>IF(A982=0,D982,MIN(Control!$B$17,D982+F982))</x:f>
        <x:v>554.849154714363</x:v>
      </x:c>
      <x:c r="H982" s="73" t="n">
        <x:f>MOD(INT(G982)-1,Control!$B$7)+1</x:f>
        <x:v>18</x:v>
      </x:c>
      <x:c r="I982" s="73" t="n">
        <x:f>MIN(Control!$B$6,MAX(1,INT(MAX(0,G982)/Control!$B$7)+1))</x:f>
        <x:v>5</x:v>
      </x:c>
      <x:c r="J982" s="73" t="n">
        <x:f>INDEX(Drivers!$H$8:$H$13,B982)</x:f>
        <x:v>1</x:v>
      </x:c>
      <x:c r="K982" s="73" t="n">
        <x:f>IF(J982=1,INDEX(TrackMap!$I$8:$I$141,H982),INDEX(TrackMap!$L$8:$L$141,H982))</x:f>
        <x:v>2403</x:v>
      </x:c>
      <x:c r="L982" s="73" t="str">
        <x:f>INDEX(TrackMap!$F$8:$F$141,H982)</x:f>
        <x:v>↑</x:v>
      </x:c>
      <x:c r="M982" s="87" t="n">
        <x:f>MAX(0,G982/Control!$B$17)</x:f>
        <x:v>0.8281330667378551</x:v>
      </x:c>
      <x:c r="N982" s="73" t="n">
        <x:f>IF(N976&gt;0,N976,IF(G982&gt;=Control!$B$17,A982,0))</x:f>
        <x:v>0</x:v>
      </x:c>
      <x:c r="O982" s="91" t="n">
        <x:f>IF(N982&gt;0,Control!$B$17+Control!$B$8+1-N982,G982)-B982/100000</x:f>
        <x:v>554.8491247143629</x:v>
      </x:c>
      <x:c r="P982" s="73" t="n">
        <x:f>COUNTIF($O$980:$O$985,"&gt;"&amp;O982)+1</x:f>
        <x:v>3</x:v>
      </x:c>
      <x:c r="Q982" s="83" t="n">
        <x:f>MAX($G$980:$G$985)-G982</x:f>
        <x:v>6.13972214112971</x:v>
      </x:c>
      <x:c r="R982" s="73" t="str">
        <x:f>INDEX(TrackMap!$B$8:$B$141,H982)</x:f>
        <x:v>西侧回弯</x:v>
      </x:c>
    </x:row>
    <x:row r="983" ht="20" customHeight="1">
      <x:c r="A983" s="73" t="n">
        <x:v>162</x:v>
      </x:c>
      <x:c r="B983" s="73" t="n">
        <x:v>4</x:v>
      </x:c>
      <x:c r="C983" s="73" t="str">
        <x:f>INDEX(Drivers!$B$8:$B$13,B983)</x:f>
        <x:v>紫影</x:v>
      </x:c>
      <x:c r="D983" s="83" t="n">
        <x:f>G977</x:f>
        <x:v>540.577107638451</x:v>
      </x:c>
      <x:c r="E983" s="83" t="str">
        <x:f>IF(A983=0,"GRID",IF(D983&gt;=Control!$B$17,"FINISHED",IF(AND(A983&gt;=INDEX(Drivers!$G$8:$G$13,B983),A983&lt;INDEX(Drivers!$G$8:$G$13,B983)+INDEX(Drivers!$J$8:$J$13,B983)),"PIT",IF(MOD(A983+INDEX(Drivers!$F$8:$F$13,B983),Control!$B$11)&lt;Control!$B$13,"BOOST","RACE"))))</x:f>
        <x:v>BOOST</x:v>
      </x:c>
      <x:c r="F983" s="83" t="n">
        <x:f>IF(OR(E983="GRID",E983="FINISHED",E983="PIT"),0,MAX(Control!$B$15,(INDEX(Drivers!$D$8:$D$13,B983)+INDEX(Drivers!$E$8:$E$13,B983)*SIN((A983+INDEX(Drivers!$F$8:$F$13,B983)+Control!$B$16)*Control!$B$14))*INDEX(TrackMap!$M$8:$M$141,MOD(INT(D983)-1,Control!$B$7)+1)*IF(E983="BOOST",Control!$B$12,1)))</x:f>
        <x:v>4.39657077944941</x:v>
      </x:c>
      <x:c r="G983" s="83" t="n">
        <x:f>IF(A983=0,D983,MIN(Control!$B$17,D983+F983))</x:f>
        <x:v>544.9736784179005</x:v>
      </x:c>
      <x:c r="H983" s="73" t="n">
        <x:f>MOD(INT(G983)-1,Control!$B$7)+1</x:f>
        <x:v>8</x:v>
      </x:c>
      <x:c r="I983" s="73" t="n">
        <x:f>MIN(Control!$B$6,MAX(1,INT(MAX(0,G983)/Control!$B$7)+1))</x:f>
        <x:v>5</x:v>
      </x:c>
      <x:c r="J983" s="73" t="n">
        <x:f>INDEX(Drivers!$H$8:$H$13,B983)</x:f>
        <x:v>2</x:v>
      </x:c>
      <x:c r="K983" s="73" t="n">
        <x:f>IF(J983=1,INDEX(TrackMap!$I$8:$I$141,H983),INDEX(TrackMap!$L$8:$L$141,H983))</x:f>
        <x:v>3009</x:v>
      </x:c>
      <x:c r="L983" s="73" t="str">
        <x:f>INDEX(TrackMap!$F$8:$F$141,H983)</x:f>
        <x:v>←</x:v>
      </x:c>
      <x:c r="M983" s="87" t="n">
        <x:f>MAX(0,G983/Control!$B$17)</x:f>
        <x:v>0.8133935498774634</x:v>
      </x:c>
      <x:c r="N983" s="73" t="n">
        <x:f>IF(N977&gt;0,N977,IF(G983&gt;=Control!$B$17,A983,0))</x:f>
        <x:v>0</x:v>
      </x:c>
      <x:c r="O983" s="91" t="n">
        <x:f>IF(N983&gt;0,Control!$B$17+Control!$B$8+1-N983,G983)-B983/100000</x:f>
        <x:v>544.9736384179005</x:v>
      </x:c>
      <x:c r="P983" s="73" t="n">
        <x:f>COUNTIF($O$980:$O$985,"&gt;"&amp;O983)+1</x:f>
        <x:v>5</x:v>
      </x:c>
      <x:c r="Q983" s="83" t="n">
        <x:f>MAX($G$980:$G$985)-G983</x:f>
        <x:v>16.015198437592176</x:v>
      </x:c>
      <x:c r="R983" s="73" t="str">
        <x:f>INDEX(TrackMap!$B$8:$B$141,H983)</x:f>
        <x:v>发车大直道</x:v>
      </x:c>
    </x:row>
    <x:row r="984" ht="20" customHeight="1">
      <x:c r="A984" s="73" t="n">
        <x:v>162</x:v>
      </x:c>
      <x:c r="B984" s="73" t="n">
        <x:v>5</x:v>
      </x:c>
      <x:c r="C984" s="73" t="str">
        <x:f>INDEX(Drivers!$B$8:$B$13,B984)</x:f>
        <x:v>青锋</x:v>
      </x:c>
      <x:c r="D984" s="83" t="n">
        <x:f>G978</x:f>
        <x:v>552.5607859794527</x:v>
      </x:c>
      <x:c r="E984" s="83" t="str">
        <x:f>IF(A984=0,"GRID",IF(D984&gt;=Control!$B$17,"FINISHED",IF(AND(A984&gt;=INDEX(Drivers!$G$8:$G$13,B984),A984&lt;INDEX(Drivers!$G$8:$G$13,B984)+INDEX(Drivers!$J$8:$J$13,B984)),"PIT",IF(MOD(A984+INDEX(Drivers!$F$8:$F$13,B984),Control!$B$11)&lt;Control!$B$13,"BOOST","RACE"))))</x:f>
        <x:v>RACE</x:v>
      </x:c>
      <x:c r="F984" s="83" t="n">
        <x:f>IF(OR(E984="GRID",E984="FINISHED",E984="PIT"),0,MAX(Control!$B$15,(INDEX(Drivers!$D$8:$D$13,B984)+INDEX(Drivers!$E$8:$E$13,B984)*SIN((A984+INDEX(Drivers!$F$8:$F$13,B984)+Control!$B$16)*Control!$B$14))*INDEX(TrackMap!$M$8:$M$141,MOD(INT(D984)-1,Control!$B$7)+1)*IF(E984="BOOST",Control!$B$12,1)))</x:f>
        <x:v>2.593573590622351</x:v>
      </x:c>
      <x:c r="G984" s="83" t="n">
        <x:f>IF(A984=0,D984,MIN(Control!$B$17,D984+F984))</x:f>
        <x:v>555.154359570075</x:v>
      </x:c>
      <x:c r="H984" s="73" t="n">
        <x:f>MOD(INT(G984)-1,Control!$B$7)+1</x:f>
        <x:v>19</x:v>
      </x:c>
      <x:c r="I984" s="73" t="n">
        <x:f>MIN(Control!$B$6,MAX(1,INT(MAX(0,G984)/Control!$B$7)+1))</x:f>
        <x:v>5</x:v>
      </x:c>
      <x:c r="J984" s="73" t="n">
        <x:f>INDEX(Drivers!$H$8:$H$13,B984)</x:f>
        <x:v>1</x:v>
      </x:c>
      <x:c r="K984" s="73" t="n">
        <x:f>IF(J984=1,INDEX(TrackMap!$I$8:$I$141,H984),INDEX(TrackMap!$L$8:$L$141,H984))</x:f>
        <x:v>2303</x:v>
      </x:c>
      <x:c r="L984" s="73" t="str">
        <x:f>INDEX(TrackMap!$F$8:$F$141,H984)</x:f>
        <x:v>↑</x:v>
      </x:c>
      <x:c r="M984" s="87" t="n">
        <x:f>MAX(0,G984/Control!$B$17)</x:f>
        <x:v>0.8285885963732463</x:v>
      </x:c>
      <x:c r="N984" s="73" t="n">
        <x:f>IF(N978&gt;0,N978,IF(G984&gt;=Control!$B$17,A984,0))</x:f>
        <x:v>0</x:v>
      </x:c>
      <x:c r="O984" s="91" t="n">
        <x:f>IF(N984&gt;0,Control!$B$17+Control!$B$8+1-N984,G984)-B984/100000</x:f>
        <x:v>555.154309570075</x:v>
      </x:c>
      <x:c r="P984" s="73" t="n">
        <x:f>COUNTIF($O$980:$O$985,"&gt;"&amp;O984)+1</x:f>
        <x:v>2</x:v>
      </x:c>
      <x:c r="Q984" s="83" t="n">
        <x:f>MAX($G$980:$G$985)-G984</x:f>
        <x:v>5.834517285417633</x:v>
      </x:c>
      <x:c r="R984" s="73" t="str">
        <x:f>INDEX(TrackMap!$B$8:$B$141,H984)</x:f>
        <x:v>西侧回弯</x:v>
      </x:c>
    </x:row>
    <x:row r="985" ht="20" customHeight="1">
      <x:c r="A985" s="73" t="n">
        <x:v>162</x:v>
      </x:c>
      <x:c r="B985" s="73" t="n">
        <x:v>6</x:v>
      </x:c>
      <x:c r="C985" s="73" t="str">
        <x:f>INDEX(Drivers!$B$8:$B$13,B985)</x:f>
        <x:v>玫速</x:v>
      </x:c>
      <x:c r="D985" s="83" t="n">
        <x:f>G979</x:f>
        <x:v>546.5941005777743</x:v>
      </x:c>
      <x:c r="E985" s="83" t="str">
        <x:f>IF(A985=0,"GRID",IF(D985&gt;=Control!$B$17,"FINISHED",IF(AND(A985&gt;=INDEX(Drivers!$G$8:$G$13,B985),A985&lt;INDEX(Drivers!$G$8:$G$13,B985)+INDEX(Drivers!$J$8:$J$13,B985)),"PIT",IF(MOD(A985+INDEX(Drivers!$F$8:$F$13,B985),Control!$B$11)&lt;Control!$B$13,"BOOST","RACE"))))</x:f>
        <x:v>RACE</x:v>
      </x:c>
      <x:c r="F985" s="83" t="n">
        <x:f>IF(OR(E985="GRID",E985="FINISHED",E985="PIT"),0,MAX(Control!$B$15,(INDEX(Drivers!$D$8:$D$13,B985)+INDEX(Drivers!$E$8:$E$13,B985)*SIN((A985+INDEX(Drivers!$F$8:$F$13,B985)+Control!$B$16)*Control!$B$14))*INDEX(TrackMap!$M$8:$M$141,MOD(INT(D985)-1,Control!$B$7)+1)*IF(E985="BOOST",Control!$B$12,1)))</x:f>
        <x:v>3.7249348616794373</x:v>
      </x:c>
      <x:c r="G985" s="83" t="n">
        <x:f>IF(A985=0,D985,MIN(Control!$B$17,D985+F985))</x:f>
        <x:v>550.3190354394537</x:v>
      </x:c>
      <x:c r="H985" s="73" t="n">
        <x:f>MOD(INT(G985)-1,Control!$B$7)+1</x:f>
        <x:v>14</x:v>
      </x:c>
      <x:c r="I985" s="73" t="n">
        <x:f>MIN(Control!$B$6,MAX(1,INT(MAX(0,G985)/Control!$B$7)+1))</x:f>
        <x:v>5</x:v>
      </x:c>
      <x:c r="J985" s="73" t="n">
        <x:f>INDEX(Drivers!$H$8:$H$13,B985)</x:f>
        <x:v>2</x:v>
      </x:c>
      <x:c r="K985" s="73" t="n">
        <x:f>IF(J985=1,INDEX(TrackMap!$I$8:$I$141,H985),INDEX(TrackMap!$L$8:$L$141,H985))</x:f>
        <x:v>2804</x:v>
      </x:c>
      <x:c r="L985" s="73" t="str">
        <x:f>INDEX(TrackMap!$F$8:$F$141,H985)</x:f>
        <x:v>↑</x:v>
      </x:c>
      <x:c r="M985" s="87" t="n">
        <x:f>MAX(0,G985/Control!$B$17)</x:f>
        <x:v>0.8213716946857519</x:v>
      </x:c>
      <x:c r="N985" s="73" t="n">
        <x:f>IF(N979&gt;0,N979,IF(G985&gt;=Control!$B$17,A985,0))</x:f>
        <x:v>0</x:v>
      </x:c>
      <x:c r="O985" s="91" t="n">
        <x:f>IF(N985&gt;0,Control!$B$17+Control!$B$8+1-N985,G985)-B985/100000</x:f>
        <x:v>550.3189754394538</x:v>
      </x:c>
      <x:c r="P985" s="73" t="n">
        <x:f>COUNTIF($O$980:$O$985,"&gt;"&amp;O985)+1</x:f>
        <x:v>4</x:v>
      </x:c>
      <x:c r="Q985" s="83" t="n">
        <x:f>MAX($G$980:$G$985)-G985</x:f>
        <x:v>10.669841416038935</x:v>
      </x:c>
      <x:c r="R985" s="73" t="str">
        <x:f>INDEX(TrackMap!$B$8:$B$141,H985)</x:f>
        <x:v>西侧回弯</x:v>
      </x:c>
    </x:row>
    <x:row r="986" ht="20" customHeight="1">
      <x:c r="A986" s="73" t="n">
        <x:v>163</x:v>
      </x:c>
      <x:c r="B986" s="73" t="n">
        <x:v>1</x:v>
      </x:c>
      <x:c r="C986" s="73" t="str">
        <x:f>INDEX(Drivers!$B$8:$B$13,B986)</x:f>
        <x:v>赤焰</x:v>
      </x:c>
      <x:c r="D986" s="83" t="n">
        <x:f>G980</x:f>
        <x:v>560.9888768554927</x:v>
      </x:c>
      <x:c r="E986" s="83" t="str">
        <x:f>IF(A986=0,"GRID",IF(D986&gt;=Control!$B$17,"FINISHED",IF(AND(A986&gt;=INDEX(Drivers!$G$8:$G$13,B986),A986&lt;INDEX(Drivers!$G$8:$G$13,B986)+INDEX(Drivers!$J$8:$J$13,B986)),"PIT",IF(MOD(A986+INDEX(Drivers!$F$8:$F$13,B986),Control!$B$11)&lt;Control!$B$13,"BOOST","RACE"))))</x:f>
        <x:v>RACE</x:v>
      </x:c>
      <x:c r="F986" s="83" t="n">
        <x:f>IF(OR(E986="GRID",E986="FINISHED",E986="PIT"),0,MAX(Control!$B$15,(INDEX(Drivers!$D$8:$D$13,B986)+INDEX(Drivers!$E$8:$E$13,B986)*SIN((A986+INDEX(Drivers!$F$8:$F$13,B986)+Control!$B$16)*Control!$B$14))*INDEX(TrackMap!$M$8:$M$141,MOD(INT(D986)-1,Control!$B$7)+1)*IF(E986="BOOST",Control!$B$12,1)))</x:f>
        <x:v>3.046413257927206</x:v>
      </x:c>
      <x:c r="G986" s="83" t="n">
        <x:f>IF(A986=0,D986,MIN(Control!$B$17,D986+F986))</x:f>
        <x:v>564.0352901134198</x:v>
      </x:c>
      <x:c r="H986" s="73" t="n">
        <x:f>MOD(INT(G986)-1,Control!$B$7)+1</x:f>
        <x:v>28</x:v>
      </x:c>
      <x:c r="I986" s="73" t="n">
        <x:f>MIN(Control!$B$6,MAX(1,INT(MAX(0,G986)/Control!$B$7)+1))</x:f>
        <x:v>5</x:v>
      </x:c>
      <x:c r="J986" s="73" t="n">
        <x:f>INDEX(Drivers!$H$8:$H$13,B986)</x:f>
        <x:v>1</x:v>
      </x:c>
      <x:c r="K986" s="73" t="n">
        <x:f>IF(J986=1,INDEX(TrackMap!$I$8:$I$141,H986),INDEX(TrackMap!$L$8:$L$141,H986))</x:f>
        <x:v>1710</x:v>
      </x:c>
      <x:c r="L986" s="73" t="str">
        <x:f>INDEX(TrackMap!$F$8:$F$141,H986)</x:f>
        <x:v>↑</x:v>
      </x:c>
      <x:c r="M986" s="87" t="n">
        <x:f>MAX(0,G986/Control!$B$17)</x:f>
        <x:v>0.8418437165871938</x:v>
      </x:c>
      <x:c r="N986" s="73" t="n">
        <x:f>IF(N980&gt;0,N980,IF(G986&gt;=Control!$B$17,A986,0))</x:f>
        <x:v>0</x:v>
      </x:c>
      <x:c r="O986" s="91" t="n">
        <x:f>IF(N986&gt;0,Control!$B$17+Control!$B$8+1-N986,G986)-B986/100000</x:f>
        <x:v>564.0352801134198</x:v>
      </x:c>
      <x:c r="P986" s="73" t="n">
        <x:f>COUNTIF($O$986:$O$991,"&gt;"&amp;O986)+1</x:f>
        <x:v>1</x:v>
      </x:c>
      <x:c r="Q986" s="83" t="n">
        <x:f>MAX($G$986:$G$991)-G986</x:f>
        <x:v>0</x:v>
      </x:c>
      <x:c r="R986" s="73" t="str">
        <x:f>INDEX(TrackMap!$B$8:$B$141,H986)</x:f>
        <x:v>西侧上坡弯</x:v>
      </x:c>
    </x:row>
    <x:row r="987" ht="20" customHeight="1">
      <x:c r="A987" s="73" t="n">
        <x:v>163</x:v>
      </x:c>
      <x:c r="B987" s="73" t="n">
        <x:v>2</x:v>
      </x:c>
      <x:c r="C987" s="73" t="str">
        <x:f>INDEX(Drivers!$B$8:$B$13,B987)</x:f>
        <x:v>蓝电</x:v>
      </x:c>
      <x:c r="D987" s="83" t="n">
        <x:f>G981</x:f>
        <x:v>540.0437228483554</x:v>
      </x:c>
      <x:c r="E987" s="83" t="str">
        <x:f>IF(A987=0,"GRID",IF(D987&gt;=Control!$B$17,"FINISHED",IF(AND(A987&gt;=INDEX(Drivers!$G$8:$G$13,B987),A987&lt;INDEX(Drivers!$G$8:$G$13,B987)+INDEX(Drivers!$J$8:$J$13,B987)),"PIT",IF(MOD(A987+INDEX(Drivers!$F$8:$F$13,B987),Control!$B$11)&lt;Control!$B$13,"BOOST","RACE"))))</x:f>
        <x:v>RACE</x:v>
      </x:c>
      <x:c r="F987" s="83" t="n">
        <x:f>IF(OR(E987="GRID",E987="FINISHED",E987="PIT"),0,MAX(Control!$B$15,(INDEX(Drivers!$D$8:$D$13,B987)+INDEX(Drivers!$E$8:$E$13,B987)*SIN((A987+INDEX(Drivers!$F$8:$F$13,B987)+Control!$B$16)*Control!$B$14))*INDEX(TrackMap!$M$8:$M$141,MOD(INT(D987)-1,Control!$B$7)+1)*IF(E987="BOOST",Control!$B$12,1)))</x:f>
        <x:v>3.0640708304187987</x:v>
      </x:c>
      <x:c r="G987" s="83" t="n">
        <x:f>IF(A987=0,D987,MIN(Control!$B$17,D987+F987))</x:f>
        <x:v>543.1077936787742</x:v>
      </x:c>
      <x:c r="H987" s="73" t="n">
        <x:f>MOD(INT(G987)-1,Control!$B$7)+1</x:f>
        <x:v>7</x:v>
      </x:c>
      <x:c r="I987" s="73" t="n">
        <x:f>MIN(Control!$B$6,MAX(1,INT(MAX(0,G987)/Control!$B$7)+1))</x:f>
        <x:v>5</x:v>
      </x:c>
      <x:c r="J987" s="73" t="n">
        <x:f>INDEX(Drivers!$H$8:$H$13,B987)</x:f>
        <x:v>2</x:v>
      </x:c>
      <x:c r="K987" s="73" t="n">
        <x:f>IF(J987=1,INDEX(TrackMap!$I$8:$I$141,H987),INDEX(TrackMap!$L$8:$L$141,H987))</x:f>
        <x:v>3010</x:v>
      </x:c>
      <x:c r="L987" s="73" t="str">
        <x:f>INDEX(TrackMap!$F$8:$F$141,H987)</x:f>
        <x:v>←</x:v>
      </x:c>
      <x:c r="M987" s="87" t="n">
        <x:f>MAX(0,G987/Control!$B$17)</x:f>
        <x:v>0.8106086472817525</x:v>
      </x:c>
      <x:c r="N987" s="73" t="n">
        <x:f>IF(N981&gt;0,N981,IF(G987&gt;=Control!$B$17,A987,0))</x:f>
        <x:v>0</x:v>
      </x:c>
      <x:c r="O987" s="91" t="n">
        <x:f>IF(N987&gt;0,Control!$B$17+Control!$B$8+1-N987,G987)-B987/100000</x:f>
        <x:v>543.1077736787743</x:v>
      </x:c>
      <x:c r="P987" s="73" t="n">
        <x:f>COUNTIF($O$986:$O$991,"&gt;"&amp;O987)+1</x:f>
        <x:v>6</x:v>
      </x:c>
      <x:c r="Q987" s="83" t="n">
        <x:f>MAX($G$986:$G$991)-G987</x:f>
        <x:v>20.927496434645604</x:v>
      </x:c>
      <x:c r="R987" s="73" t="str">
        <x:f>INDEX(TrackMap!$B$8:$B$141,H987)</x:f>
        <x:v>发车大直道</x:v>
      </x:c>
    </x:row>
    <x:row r="988" ht="20" customHeight="1">
      <x:c r="A988" s="73" t="n">
        <x:v>163</x:v>
      </x:c>
      <x:c r="B988" s="73" t="n">
        <x:v>3</x:v>
      </x:c>
      <x:c r="C988" s="73" t="str">
        <x:f>INDEX(Drivers!$B$8:$B$13,B988)</x:f>
        <x:v>金翼</x:v>
      </x:c>
      <x:c r="D988" s="83" t="n">
        <x:f>G982</x:f>
        <x:v>554.849154714363</x:v>
      </x:c>
      <x:c r="E988" s="83" t="str">
        <x:f>IF(A988=0,"GRID",IF(D988&gt;=Control!$B$17,"FINISHED",IF(AND(A988&gt;=INDEX(Drivers!$G$8:$G$13,B988),A988&lt;INDEX(Drivers!$G$8:$G$13,B988)+INDEX(Drivers!$J$8:$J$13,B988)),"PIT",IF(MOD(A988+INDEX(Drivers!$F$8:$F$13,B988),Control!$B$11)&lt;Control!$B$13,"BOOST","RACE"))))</x:f>
        <x:v>RACE</x:v>
      </x:c>
      <x:c r="F988" s="83" t="n">
        <x:f>IF(OR(E988="GRID",E988="FINISHED",E988="PIT"),0,MAX(Control!$B$15,(INDEX(Drivers!$D$8:$D$13,B988)+INDEX(Drivers!$E$8:$E$13,B988)*SIN((A988+INDEX(Drivers!$F$8:$F$13,B988)+Control!$B$16)*Control!$B$14))*INDEX(TrackMap!$M$8:$M$141,MOD(INT(D988)-1,Control!$B$7)+1)*IF(E988="BOOST",Control!$B$12,1)))</x:f>
        <x:v>3.2759511071297887</x:v>
      </x:c>
      <x:c r="G988" s="83" t="n">
        <x:f>IF(A988=0,D988,MIN(Control!$B$17,D988+F988))</x:f>
        <x:v>558.1251058214928</x:v>
      </x:c>
      <x:c r="H988" s="73" t="n">
        <x:f>MOD(INT(G988)-1,Control!$B$7)+1</x:f>
        <x:v>22</x:v>
      </x:c>
      <x:c r="I988" s="73" t="n">
        <x:f>MIN(Control!$B$6,MAX(1,INT(MAX(0,G988)/Control!$B$7)+1))</x:f>
        <x:v>5</x:v>
      </x:c>
      <x:c r="J988" s="73" t="n">
        <x:f>INDEX(Drivers!$H$8:$H$13,B988)</x:f>
        <x:v>1</x:v>
      </x:c>
      <x:c r="K988" s="73" t="n">
        <x:f>IF(J988=1,INDEX(TrackMap!$I$8:$I$141,H988),INDEX(TrackMap!$L$8:$L$141,H988))</x:f>
        <x:v>2207</x:v>
      </x:c>
      <x:c r="L988" s="73" t="str">
        <x:f>INDEX(TrackMap!$F$8:$F$141,H988)</x:f>
        <x:v>→</x:v>
      </x:c>
      <x:c r="M988" s="87" t="n">
        <x:f>MAX(0,G988/Control!$B$17)</x:f>
        <x:v>0.833022546002228</x:v>
      </x:c>
      <x:c r="N988" s="73" t="n">
        <x:f>IF(N982&gt;0,N982,IF(G988&gt;=Control!$B$17,A988,0))</x:f>
        <x:v>0</x:v>
      </x:c>
      <x:c r="O988" s="91" t="n">
        <x:f>IF(N988&gt;0,Control!$B$17+Control!$B$8+1-N988,G988)-B988/100000</x:f>
        <x:v>558.1250758214927</x:v>
      </x:c>
      <x:c r="P988" s="73" t="n">
        <x:f>COUNTIF($O$986:$O$991,"&gt;"&amp;O988)+1</x:f>
        <x:v>2</x:v>
      </x:c>
      <x:c r="Q988" s="83" t="n">
        <x:f>MAX($G$986:$G$991)-G988</x:f>
        <x:v>5.910184291927067</x:v>
      </x:c>
      <x:c r="R988" s="73" t="str">
        <x:f>INDEX(TrackMap!$B$8:$B$141,H988)</x:f>
        <x:v>短直道</x:v>
      </x:c>
    </x:row>
    <x:row r="989" ht="20" customHeight="1">
      <x:c r="A989" s="73" t="n">
        <x:v>163</x:v>
      </x:c>
      <x:c r="B989" s="73" t="n">
        <x:v>4</x:v>
      </x:c>
      <x:c r="C989" s="73" t="str">
        <x:f>INDEX(Drivers!$B$8:$B$13,B989)</x:f>
        <x:v>紫影</x:v>
      </x:c>
      <x:c r="D989" s="83" t="n">
        <x:f>G983</x:f>
        <x:v>544.9736784179005</x:v>
      </x:c>
      <x:c r="E989" s="83" t="str">
        <x:f>IF(A989=0,"GRID",IF(D989&gt;=Control!$B$17,"FINISHED",IF(AND(A989&gt;=INDEX(Drivers!$G$8:$G$13,B989),A989&lt;INDEX(Drivers!$G$8:$G$13,B989)+INDEX(Drivers!$J$8:$J$13,B989)),"PIT",IF(MOD(A989+INDEX(Drivers!$F$8:$F$13,B989),Control!$B$11)&lt;Control!$B$13,"BOOST","RACE"))))</x:f>
        <x:v>BOOST</x:v>
      </x:c>
      <x:c r="F989" s="83" t="n">
        <x:f>IF(OR(E989="GRID",E989="FINISHED",E989="PIT"),0,MAX(Control!$B$15,(INDEX(Drivers!$D$8:$D$13,B989)+INDEX(Drivers!$E$8:$E$13,B989)*SIN((A989+INDEX(Drivers!$F$8:$F$13,B989)+Control!$B$16)*Control!$B$14))*INDEX(TrackMap!$M$8:$M$141,MOD(INT(D989)-1,Control!$B$7)+1)*IF(E989="BOOST",Control!$B$12,1)))</x:f>
        <x:v>4.199706696402233</x:v>
      </x:c>
      <x:c r="G989" s="83" t="n">
        <x:f>IF(A989=0,D989,MIN(Control!$B$17,D989+F989))</x:f>
        <x:v>549.1733851143027</x:v>
      </x:c>
      <x:c r="H989" s="73" t="n">
        <x:f>MOD(INT(G989)-1,Control!$B$7)+1</x:f>
        <x:v>13</x:v>
      </x:c>
      <x:c r="I989" s="73" t="n">
        <x:f>MIN(Control!$B$6,MAX(1,INT(MAX(0,G989)/Control!$B$7)+1))</x:f>
        <x:v>5</x:v>
      </x:c>
      <x:c r="J989" s="73" t="n">
        <x:f>INDEX(Drivers!$H$8:$H$13,B989)</x:f>
        <x:v>2</x:v>
      </x:c>
      <x:c r="K989" s="73" t="n">
        <x:f>IF(J989=1,INDEX(TrackMap!$I$8:$I$141,H989),INDEX(TrackMap!$L$8:$L$141,H989))</x:f>
        <x:v>2904</x:v>
      </x:c>
      <x:c r="L989" s="73" t="str">
        <x:f>INDEX(TrackMap!$F$8:$F$141,H989)</x:f>
        <x:v>↑</x:v>
      </x:c>
      <x:c r="M989" s="87" t="n">
        <x:f>MAX(0,G989/Control!$B$17)</x:f>
        <x:v>0.8196617688273176</x:v>
      </x:c>
      <x:c r="N989" s="73" t="n">
        <x:f>IF(N983&gt;0,N983,IF(G989&gt;=Control!$B$17,A989,0))</x:f>
        <x:v>0</x:v>
      </x:c>
      <x:c r="O989" s="91" t="n">
        <x:f>IF(N989&gt;0,Control!$B$17+Control!$B$8+1-N989,G989)-B989/100000</x:f>
        <x:v>549.1733451143027</x:v>
      </x:c>
      <x:c r="P989" s="73" t="n">
        <x:f>COUNTIF($O$986:$O$991,"&gt;"&amp;O989)+1</x:f>
        <x:v>5</x:v>
      </x:c>
      <x:c r="Q989" s="83" t="n">
        <x:f>MAX($G$986:$G$991)-G989</x:f>
        <x:v>14.861904999117087</x:v>
      </x:c>
      <x:c r="R989" s="73" t="str">
        <x:f>INDEX(TrackMap!$B$8:$B$141,H989)</x:f>
        <x:v>西侧回弯</x:v>
      </x:c>
    </x:row>
    <x:row r="990" ht="20" customHeight="1">
      <x:c r="A990" s="73" t="n">
        <x:v>163</x:v>
      </x:c>
      <x:c r="B990" s="73" t="n">
        <x:v>5</x:v>
      </x:c>
      <x:c r="C990" s="73" t="str">
        <x:f>INDEX(Drivers!$B$8:$B$13,B990)</x:f>
        <x:v>青锋</x:v>
      </x:c>
      <x:c r="D990" s="83" t="n">
        <x:f>G984</x:f>
        <x:v>555.154359570075</x:v>
      </x:c>
      <x:c r="E990" s="83" t="str">
        <x:f>IF(A990=0,"GRID",IF(D990&gt;=Control!$B$17,"FINISHED",IF(AND(A990&gt;=INDEX(Drivers!$G$8:$G$13,B990),A990&lt;INDEX(Drivers!$G$8:$G$13,B990)+INDEX(Drivers!$J$8:$J$13,B990)),"PIT",IF(MOD(A990+INDEX(Drivers!$F$8:$F$13,B990),Control!$B$11)&lt;Control!$B$13,"BOOST","RACE"))))</x:f>
        <x:v>RACE</x:v>
      </x:c>
      <x:c r="F990" s="83" t="n">
        <x:f>IF(OR(E990="GRID",E990="FINISHED",E990="PIT"),0,MAX(Control!$B$15,(INDEX(Drivers!$D$8:$D$13,B990)+INDEX(Drivers!$E$8:$E$13,B990)*SIN((A990+INDEX(Drivers!$F$8:$F$13,B990)+Control!$B$16)*Control!$B$14))*INDEX(TrackMap!$M$8:$M$141,MOD(INT(D990)-1,Control!$B$7)+1)*IF(E990="BOOST",Control!$B$12,1)))</x:f>
        <x:v>2.490856512256236</x:v>
      </x:c>
      <x:c r="G990" s="83" t="n">
        <x:f>IF(A990=0,D990,MIN(Control!$B$17,D990+F990))</x:f>
        <x:v>557.6452160823312</x:v>
      </x:c>
      <x:c r="H990" s="73" t="n">
        <x:f>MOD(INT(G990)-1,Control!$B$7)+1</x:f>
        <x:v>21</x:v>
      </x:c>
      <x:c r="I990" s="73" t="n">
        <x:f>MIN(Control!$B$6,MAX(1,INT(MAX(0,G990)/Control!$B$7)+1))</x:f>
        <x:v>5</x:v>
      </x:c>
      <x:c r="J990" s="73" t="n">
        <x:f>INDEX(Drivers!$H$8:$H$13,B990)</x:f>
        <x:v>1</x:v>
      </x:c>
      <x:c r="K990" s="73" t="n">
        <x:f>IF(J990=1,INDEX(TrackMap!$I$8:$I$141,H990),INDEX(TrackMap!$L$8:$L$141,H990))</x:f>
        <x:v>2206</x:v>
      </x:c>
      <x:c r="L990" s="73" t="str">
        <x:f>INDEX(TrackMap!$F$8:$F$141,H990)</x:f>
        <x:v>→</x:v>
      </x:c>
      <x:c r="M990" s="87" t="n">
        <x:f>MAX(0,G990/Control!$B$17)</x:f>
        <x:v>0.8323062926601958</x:v>
      </x:c>
      <x:c r="N990" s="73" t="n">
        <x:f>IF(N984&gt;0,N984,IF(G990&gt;=Control!$B$17,A990,0))</x:f>
        <x:v>0</x:v>
      </x:c>
      <x:c r="O990" s="91" t="n">
        <x:f>IF(N990&gt;0,Control!$B$17+Control!$B$8+1-N990,G990)-B990/100000</x:f>
        <x:v>557.6451660823312</x:v>
      </x:c>
      <x:c r="P990" s="73" t="n">
        <x:f>COUNTIF($O$986:$O$991,"&gt;"&amp;O990)+1</x:f>
        <x:v>3</x:v>
      </x:c>
      <x:c r="Q990" s="83" t="n">
        <x:f>MAX($G$986:$G$991)-G990</x:f>
        <x:v>6.390074031088602</x:v>
      </x:c>
      <x:c r="R990" s="73" t="str">
        <x:f>INDEX(TrackMap!$B$8:$B$141,H990)</x:f>
        <x:v>短直道</x:v>
      </x:c>
    </x:row>
    <x:row r="991" ht="20" customHeight="1">
      <x:c r="A991" s="73" t="n">
        <x:v>163</x:v>
      </x:c>
      <x:c r="B991" s="73" t="n">
        <x:v>6</x:v>
      </x:c>
      <x:c r="C991" s="73" t="str">
        <x:f>INDEX(Drivers!$B$8:$B$13,B991)</x:f>
        <x:v>玫速</x:v>
      </x:c>
      <x:c r="D991" s="83" t="n">
        <x:f>G985</x:f>
        <x:v>550.3190354394537</x:v>
      </x:c>
      <x:c r="E991" s="83" t="str">
        <x:f>IF(A991=0,"GRID",IF(D991&gt;=Control!$B$17,"FINISHED",IF(AND(A991&gt;=INDEX(Drivers!$G$8:$G$13,B991),A991&lt;INDEX(Drivers!$G$8:$G$13,B991)+INDEX(Drivers!$J$8:$J$13,B991)),"PIT",IF(MOD(A991+INDEX(Drivers!$F$8:$F$13,B991),Control!$B$11)&lt;Control!$B$13,"BOOST","RACE"))))</x:f>
        <x:v>RACE</x:v>
      </x:c>
      <x:c r="F991" s="83" t="n">
        <x:f>IF(OR(E991="GRID",E991="FINISHED",E991="PIT"),0,MAX(Control!$B$15,(INDEX(Drivers!$D$8:$D$13,B991)+INDEX(Drivers!$E$8:$E$13,B991)*SIN((A991+INDEX(Drivers!$F$8:$F$13,B991)+Control!$B$16)*Control!$B$14))*INDEX(TrackMap!$M$8:$M$141,MOD(INT(D991)-1,Control!$B$7)+1)*IF(E991="BOOST",Control!$B$12,1)))</x:f>
        <x:v>3.0718380757169026</x:v>
      </x:c>
      <x:c r="G991" s="83" t="n">
        <x:f>IF(A991=0,D991,MIN(Control!$B$17,D991+F991))</x:f>
        <x:v>553.3908735151706</x:v>
      </x:c>
      <x:c r="H991" s="73" t="n">
        <x:f>MOD(INT(G991)-1,Control!$B$7)+1</x:f>
        <x:v>17</x:v>
      </x:c>
      <x:c r="I991" s="73" t="n">
        <x:f>MIN(Control!$B$6,MAX(1,INT(MAX(0,G991)/Control!$B$7)+1))</x:f>
        <x:v>5</x:v>
      </x:c>
      <x:c r="J991" s="73" t="n">
        <x:f>INDEX(Drivers!$H$8:$H$13,B991)</x:f>
        <x:v>2</x:v>
      </x:c>
      <x:c r="K991" s="73" t="n">
        <x:f>IF(J991=1,INDEX(TrackMap!$I$8:$I$141,H991),INDEX(TrackMap!$L$8:$L$141,H991))</x:f>
        <x:v>2504</x:v>
      </x:c>
      <x:c r="L991" s="73" t="str">
        <x:f>INDEX(TrackMap!$F$8:$F$141,H991)</x:f>
        <x:v>↑</x:v>
      </x:c>
      <x:c r="M991" s="87" t="n">
        <x:f>MAX(0,G991/Control!$B$17)</x:f>
        <x:v>0.8259565276345829</x:v>
      </x:c>
      <x:c r="N991" s="73" t="n">
        <x:f>IF(N985&gt;0,N985,IF(G991&gt;=Control!$B$17,A991,0))</x:f>
        <x:v>0</x:v>
      </x:c>
      <x:c r="O991" s="91" t="n">
        <x:f>IF(N991&gt;0,Control!$B$17+Control!$B$8+1-N991,G991)-B991/100000</x:f>
        <x:v>553.3908135151706</x:v>
      </x:c>
      <x:c r="P991" s="73" t="n">
        <x:f>COUNTIF($O$986:$O$991,"&gt;"&amp;O991)+1</x:f>
        <x:v>4</x:v>
      </x:c>
      <x:c r="Q991" s="83" t="n">
        <x:f>MAX($G$986:$G$991)-G991</x:f>
        <x:v>10.644416598249222</x:v>
      </x:c>
      <x:c r="R991" s="73" t="str">
        <x:f>INDEX(TrackMap!$B$8:$B$141,H991)</x:f>
        <x:v>西侧回弯</x:v>
      </x:c>
    </x:row>
    <x:row r="992" ht="20" customHeight="1">
      <x:c r="A992" s="73" t="n">
        <x:v>164</x:v>
      </x:c>
      <x:c r="B992" s="73" t="n">
        <x:v>1</x:v>
      </x:c>
      <x:c r="C992" s="73" t="str">
        <x:f>INDEX(Drivers!$B$8:$B$13,B992)</x:f>
        <x:v>赤焰</x:v>
      </x:c>
      <x:c r="D992" s="83" t="n">
        <x:f>G986</x:f>
        <x:v>564.0352901134198</x:v>
      </x:c>
      <x:c r="E992" s="83" t="str">
        <x:f>IF(A992=0,"GRID",IF(D992&gt;=Control!$B$17,"FINISHED",IF(AND(A992&gt;=INDEX(Drivers!$G$8:$G$13,B992),A992&lt;INDEX(Drivers!$G$8:$G$13,B992)+INDEX(Drivers!$J$8:$J$13,B992)),"PIT",IF(MOD(A992+INDEX(Drivers!$F$8:$F$13,B992),Control!$B$11)&lt;Control!$B$13,"BOOST","RACE"))))</x:f>
        <x:v>RACE</x:v>
      </x:c>
      <x:c r="F992" s="83" t="n">
        <x:f>IF(OR(E992="GRID",E992="FINISHED",E992="PIT"),0,MAX(Control!$B$15,(INDEX(Drivers!$D$8:$D$13,B992)+INDEX(Drivers!$E$8:$E$13,B992)*SIN((A992+INDEX(Drivers!$F$8:$F$13,B992)+Control!$B$16)*Control!$B$14))*INDEX(TrackMap!$M$8:$M$141,MOD(INT(D992)-1,Control!$B$7)+1)*IF(E992="BOOST",Control!$B$12,1)))</x:f>
        <x:v>3.7122613981656123</x:v>
      </x:c>
      <x:c r="G992" s="83" t="n">
        <x:f>IF(A992=0,D992,MIN(Control!$B$17,D992+F992))</x:f>
        <x:v>567.7475515115855</x:v>
      </x:c>
      <x:c r="H992" s="73" t="n">
        <x:f>MOD(INT(G992)-1,Control!$B$7)+1</x:f>
        <x:v>31</x:v>
      </x:c>
      <x:c r="I992" s="73" t="n">
        <x:f>MIN(Control!$B$6,MAX(1,INT(MAX(0,G992)/Control!$B$7)+1))</x:f>
        <x:v>5</x:v>
      </x:c>
      <x:c r="J992" s="73" t="n">
        <x:f>INDEX(Drivers!$H$8:$H$13,B992)</x:f>
        <x:v>1</x:v>
      </x:c>
      <x:c r="K992" s="73" t="n">
        <x:f>IF(J992=1,INDEX(TrackMap!$I$8:$I$141,H992),INDEX(TrackMap!$L$8:$L$141,H992))</x:f>
        <x:v>1410</x:v>
      </x:c>
      <x:c r="L992" s="73" t="str">
        <x:f>INDEX(TrackMap!$F$8:$F$141,H992)</x:f>
        <x:v>↑</x:v>
      </x:c>
      <x:c r="M992" s="87" t="n">
        <x:f>MAX(0,G992/Control!$B$17)</x:f>
        <x:v>0.8473844052411723</x:v>
      </x:c>
      <x:c r="N992" s="73" t="n">
        <x:f>IF(N986&gt;0,N986,IF(G992&gt;=Control!$B$17,A992,0))</x:f>
        <x:v>0</x:v>
      </x:c>
      <x:c r="O992" s="91" t="n">
        <x:f>IF(N992&gt;0,Control!$B$17+Control!$B$8+1-N992,G992)-B992/100000</x:f>
        <x:v>567.7475415115855</x:v>
      </x:c>
      <x:c r="P992" s="73" t="n">
        <x:f>COUNTIF($O$992:$O$997,"&gt;"&amp;O992)+1</x:f>
        <x:v>1</x:v>
      </x:c>
      <x:c r="Q992" s="83" t="n">
        <x:f>MAX($G$992:$G$997)-G992</x:f>
        <x:v>0</x:v>
      </x:c>
      <x:c r="R992" s="73" t="str">
        <x:f>INDEX(TrackMap!$B$8:$B$141,H992)</x:f>
        <x:v>西侧上坡弯</x:v>
      </x:c>
    </x:row>
    <x:row r="993" ht="20" customHeight="1">
      <x:c r="A993" s="73" t="n">
        <x:v>164</x:v>
      </x:c>
      <x:c r="B993" s="73" t="n">
        <x:v>2</x:v>
      </x:c>
      <x:c r="C993" s="73" t="str">
        <x:f>INDEX(Drivers!$B$8:$B$13,B993)</x:f>
        <x:v>蓝电</x:v>
      </x:c>
      <x:c r="D993" s="83" t="n">
        <x:f>G987</x:f>
        <x:v>543.1077936787742</x:v>
      </x:c>
      <x:c r="E993" s="83" t="str">
        <x:f>IF(A993=0,"GRID",IF(D993&gt;=Control!$B$17,"FINISHED",IF(AND(A993&gt;=INDEX(Drivers!$G$8:$G$13,B993),A993&lt;INDEX(Drivers!$G$8:$G$13,B993)+INDEX(Drivers!$J$8:$J$13,B993)),"PIT",IF(MOD(A993+INDEX(Drivers!$F$8:$F$13,B993),Control!$B$11)&lt;Control!$B$13,"BOOST","RACE"))))</x:f>
        <x:v>RACE</x:v>
      </x:c>
      <x:c r="F993" s="83" t="n">
        <x:f>IF(OR(E993="GRID",E993="FINISHED",E993="PIT"),0,MAX(Control!$B$15,(INDEX(Drivers!$D$8:$D$13,B993)+INDEX(Drivers!$E$8:$E$13,B993)*SIN((A993+INDEX(Drivers!$F$8:$F$13,B993)+Control!$B$16)*Control!$B$14))*INDEX(TrackMap!$M$8:$M$141,MOD(INT(D993)-1,Control!$B$7)+1)*IF(E993="BOOST",Control!$B$12,1)))</x:f>
        <x:v>3.209746399999835</x:v>
      </x:c>
      <x:c r="G993" s="83" t="n">
        <x:f>IF(A993=0,D993,MIN(Control!$B$17,D993+F993))</x:f>
        <x:v>546.3175400787741</x:v>
      </x:c>
      <x:c r="H993" s="73" t="n">
        <x:f>MOD(INT(G993)-1,Control!$B$7)+1</x:f>
        <x:v>10</x:v>
      </x:c>
      <x:c r="I993" s="73" t="n">
        <x:f>MIN(Control!$B$6,MAX(1,INT(MAX(0,G993)/Control!$B$7)+1))</x:f>
        <x:v>5</x:v>
      </x:c>
      <x:c r="J993" s="73" t="n">
        <x:f>INDEX(Drivers!$H$8:$H$13,B993)</x:f>
        <x:v>2</x:v>
      </x:c>
      <x:c r="K993" s="73" t="n">
        <x:f>IF(J993=1,INDEX(TrackMap!$I$8:$I$141,H993),INDEX(TrackMap!$L$8:$L$141,H993))</x:f>
        <x:v>3007</x:v>
      </x:c>
      <x:c r="L993" s="73" t="str">
        <x:f>INDEX(TrackMap!$F$8:$F$141,H993)</x:f>
        <x:v>←</x:v>
      </x:c>
      <x:c r="M993" s="87" t="n">
        <x:f>MAX(0,G993/Control!$B$17)</x:f>
        <x:v>0.8153993135504091</x:v>
      </x:c>
      <x:c r="N993" s="73" t="n">
        <x:f>IF(N987&gt;0,N987,IF(G993&gt;=Control!$B$17,A993,0))</x:f>
        <x:v>0</x:v>
      </x:c>
      <x:c r="O993" s="91" t="n">
        <x:f>IF(N993&gt;0,Control!$B$17+Control!$B$8+1-N993,G993)-B993/100000</x:f>
        <x:v>546.3175200787741</x:v>
      </x:c>
      <x:c r="P993" s="73" t="n">
        <x:f>COUNTIF($O$992:$O$997,"&gt;"&amp;O993)+1</x:f>
        <x:v>6</x:v>
      </x:c>
      <x:c r="Q993" s="83" t="n">
        <x:f>MAX($G$992:$G$997)-G993</x:f>
        <x:v>21.430011432811398</x:v>
      </x:c>
      <x:c r="R993" s="73" t="str">
        <x:f>INDEX(TrackMap!$B$8:$B$141,H993)</x:f>
        <x:v>发车大直道</x:v>
      </x:c>
    </x:row>
    <x:row r="994" ht="20" customHeight="1">
      <x:c r="A994" s="73" t="n">
        <x:v>164</x:v>
      </x:c>
      <x:c r="B994" s="73" t="n">
        <x:v>3</x:v>
      </x:c>
      <x:c r="C994" s="73" t="str">
        <x:f>INDEX(Drivers!$B$8:$B$13,B994)</x:f>
        <x:v>金翼</x:v>
      </x:c>
      <x:c r="D994" s="83" t="n">
        <x:f>G988</x:f>
        <x:v>558.1251058214928</x:v>
      </x:c>
      <x:c r="E994" s="83" t="str">
        <x:f>IF(A994=0,"GRID",IF(D994&gt;=Control!$B$17,"FINISHED",IF(AND(A994&gt;=INDEX(Drivers!$G$8:$G$13,B994),A994&lt;INDEX(Drivers!$G$8:$G$13,B994)+INDEX(Drivers!$J$8:$J$13,B994)),"PIT",IF(MOD(A994+INDEX(Drivers!$F$8:$F$13,B994),Control!$B$11)&lt;Control!$B$13,"BOOST","RACE"))))</x:f>
        <x:v>RACE</x:v>
      </x:c>
      <x:c r="F994" s="83" t="n">
        <x:f>IF(OR(E994="GRID",E994="FINISHED",E994="PIT"),0,MAX(Control!$B$15,(INDEX(Drivers!$D$8:$D$13,B994)+INDEX(Drivers!$E$8:$E$13,B994)*SIN((A994+INDEX(Drivers!$F$8:$F$13,B994)+Control!$B$16)*Control!$B$14))*INDEX(TrackMap!$M$8:$M$141,MOD(INT(D994)-1,Control!$B$7)+1)*IF(E994="BOOST",Control!$B$12,1)))</x:f>
        <x:v>4.168968148912148</x:v>
      </x:c>
      <x:c r="G994" s="83" t="n">
        <x:f>IF(A994=0,D994,MIN(Control!$B$17,D994+F994))</x:f>
        <x:v>562.294073970405</x:v>
      </x:c>
      <x:c r="H994" s="73" t="n">
        <x:f>MOD(INT(G994)-1,Control!$B$7)+1</x:f>
        <x:v>26</x:v>
      </x:c>
      <x:c r="I994" s="73" t="n">
        <x:f>MIN(Control!$B$6,MAX(1,INT(MAX(0,G994)/Control!$B$7)+1))</x:f>
        <x:v>5</x:v>
      </x:c>
      <x:c r="J994" s="73" t="n">
        <x:f>INDEX(Drivers!$H$8:$H$13,B994)</x:f>
        <x:v>1</x:v>
      </x:c>
      <x:c r="K994" s="73" t="n">
        <x:f>IF(J994=1,INDEX(TrackMap!$I$8:$I$141,H994),INDEX(TrackMap!$L$8:$L$141,H994))</x:f>
        <x:v>1910</x:v>
      </x:c>
      <x:c r="L994" s="73" t="str">
        <x:f>INDEX(TrackMap!$F$8:$F$141,H994)</x:f>
        <x:v>↑</x:v>
      </x:c>
      <x:c r="M994" s="87" t="n">
        <x:f>MAX(0,G994/Control!$B$17)</x:f>
        <x:v>0.8392448865229925</x:v>
      </x:c>
      <x:c r="N994" s="73" t="n">
        <x:f>IF(N988&gt;0,N988,IF(G994&gt;=Control!$B$17,A994,0))</x:f>
        <x:v>0</x:v>
      </x:c>
      <x:c r="O994" s="91" t="n">
        <x:f>IF(N994&gt;0,Control!$B$17+Control!$B$8+1-N994,G994)-B994/100000</x:f>
        <x:v>562.2940439704049</x:v>
      </x:c>
      <x:c r="P994" s="73" t="n">
        <x:f>COUNTIF($O$992:$O$997,"&gt;"&amp;O994)+1</x:f>
        <x:v>2</x:v>
      </x:c>
      <x:c r="Q994" s="83" t="n">
        <x:f>MAX($G$992:$G$997)-G994</x:f>
        <x:v>5.4534775411805185</x:v>
      </x:c>
      <x:c r="R994" s="73" t="str">
        <x:f>INDEX(TrackMap!$B$8:$B$141,H994)</x:f>
        <x:v>西侧上坡弯</x:v>
      </x:c>
    </x:row>
    <x:row r="995" ht="20" customHeight="1">
      <x:c r="A995" s="73" t="n">
        <x:v>164</x:v>
      </x:c>
      <x:c r="B995" s="73" t="n">
        <x:v>4</x:v>
      </x:c>
      <x:c r="C995" s="73" t="str">
        <x:f>INDEX(Drivers!$B$8:$B$13,B995)</x:f>
        <x:v>紫影</x:v>
      </x:c>
      <x:c r="D995" s="83" t="n">
        <x:f>G989</x:f>
        <x:v>549.1733851143027</x:v>
      </x:c>
      <x:c r="E995" s="83" t="str">
        <x:f>IF(A995=0,"GRID",IF(D995&gt;=Control!$B$17,"FINISHED",IF(AND(A995&gt;=INDEX(Drivers!$G$8:$G$13,B995),A995&lt;INDEX(Drivers!$G$8:$G$13,B995)+INDEX(Drivers!$J$8:$J$13,B995)),"PIT",IF(MOD(A995+INDEX(Drivers!$F$8:$F$13,B995),Control!$B$11)&lt;Control!$B$13,"BOOST","RACE"))))</x:f>
        <x:v>BOOST</x:v>
      </x:c>
      <x:c r="F995" s="83" t="n">
        <x:f>IF(OR(E995="GRID",E995="FINISHED",E995="PIT"),0,MAX(Control!$B$15,(INDEX(Drivers!$D$8:$D$13,B995)+INDEX(Drivers!$E$8:$E$13,B995)*SIN((A995+INDEX(Drivers!$F$8:$F$13,B995)+Control!$B$16)*Control!$B$14))*INDEX(TrackMap!$M$8:$M$141,MOD(INT(D995)-1,Control!$B$7)+1)*IF(E995="BOOST",Control!$B$12,1)))</x:f>
        <x:v>3.1919239672484596</x:v>
      </x:c>
      <x:c r="G995" s="83" t="n">
        <x:f>IF(A995=0,D995,MIN(Control!$B$17,D995+F995))</x:f>
        <x:v>552.3653090815512</x:v>
      </x:c>
      <x:c r="H995" s="73" t="n">
        <x:f>MOD(INT(G995)-1,Control!$B$7)+1</x:f>
        <x:v>16</x:v>
      </x:c>
      <x:c r="I995" s="73" t="n">
        <x:f>MIN(Control!$B$6,MAX(1,INT(MAX(0,G995)/Control!$B$7)+1))</x:f>
        <x:v>5</x:v>
      </x:c>
      <x:c r="J995" s="73" t="n">
        <x:f>INDEX(Drivers!$H$8:$H$13,B995)</x:f>
        <x:v>2</x:v>
      </x:c>
      <x:c r="K995" s="73" t="n">
        <x:f>IF(J995=1,INDEX(TrackMap!$I$8:$I$141,H995),INDEX(TrackMap!$L$8:$L$141,H995))</x:f>
        <x:v>2604</x:v>
      </x:c>
      <x:c r="L995" s="73" t="str">
        <x:f>INDEX(TrackMap!$F$8:$F$141,H995)</x:f>
        <x:v>↑</x:v>
      </x:c>
      <x:c r="M995" s="87" t="n">
        <x:f>MAX(0,G995/Control!$B$17)</x:f>
        <x:v>0.8244258344500764</x:v>
      </x:c>
      <x:c r="N995" s="73" t="n">
        <x:f>IF(N989&gt;0,N989,IF(G995&gt;=Control!$B$17,A995,0))</x:f>
        <x:v>0</x:v>
      </x:c>
      <x:c r="O995" s="91" t="n">
        <x:f>IF(N995&gt;0,Control!$B$17+Control!$B$8+1-N995,G995)-B995/100000</x:f>
        <x:v>552.3652690815512</x:v>
      </x:c>
      <x:c r="P995" s="73" t="n">
        <x:f>COUNTIF($O$992:$O$997,"&gt;"&amp;O995)+1</x:f>
        <x:v>5</x:v>
      </x:c>
      <x:c r="Q995" s="83" t="n">
        <x:f>MAX($G$992:$G$997)-G995</x:f>
        <x:v>15.382242430034239</x:v>
      </x:c>
      <x:c r="R995" s="73" t="str">
        <x:f>INDEX(TrackMap!$B$8:$B$141,H995)</x:f>
        <x:v>西侧回弯</x:v>
      </x:c>
    </x:row>
    <x:row r="996" ht="20" customHeight="1">
      <x:c r="A996" s="73" t="n">
        <x:v>164</x:v>
      </x:c>
      <x:c r="B996" s="73" t="n">
        <x:v>5</x:v>
      </x:c>
      <x:c r="C996" s="73" t="str">
        <x:f>INDEX(Drivers!$B$8:$B$13,B996)</x:f>
        <x:v>青锋</x:v>
      </x:c>
      <x:c r="D996" s="83" t="n">
        <x:f>G990</x:f>
        <x:v>557.6452160823312</x:v>
      </x:c>
      <x:c r="E996" s="83" t="str">
        <x:f>IF(A996=0,"GRID",IF(D996&gt;=Control!$B$17,"FINISHED",IF(AND(A996&gt;=INDEX(Drivers!$G$8:$G$13,B996),A996&lt;INDEX(Drivers!$G$8:$G$13,B996)+INDEX(Drivers!$J$8:$J$13,B996)),"PIT",IF(MOD(A996+INDEX(Drivers!$F$8:$F$13,B996),Control!$B$11)&lt;Control!$B$13,"BOOST","RACE"))))</x:f>
        <x:v>RACE</x:v>
      </x:c>
      <x:c r="F996" s="83" t="n">
        <x:f>IF(OR(E996="GRID",E996="FINISHED",E996="PIT"),0,MAX(Control!$B$15,(INDEX(Drivers!$D$8:$D$13,B996)+INDEX(Drivers!$E$8:$E$13,B996)*SIN((A996+INDEX(Drivers!$F$8:$F$13,B996)+Control!$B$16)*Control!$B$14))*INDEX(TrackMap!$M$8:$M$141,MOD(INT(D996)-1,Control!$B$7)+1)*IF(E996="BOOST",Control!$B$12,1)))</x:f>
        <x:v>2.4342303973945207</x:v>
      </x:c>
      <x:c r="G996" s="83" t="n">
        <x:f>IF(A996=0,D996,MIN(Control!$B$17,D996+F996))</x:f>
        <x:v>560.0794464797258</x:v>
      </x:c>
      <x:c r="H996" s="73" t="n">
        <x:f>MOD(INT(G996)-1,Control!$B$7)+1</x:f>
        <x:v>24</x:v>
      </x:c>
      <x:c r="I996" s="73" t="n">
        <x:f>MIN(Control!$B$6,MAX(1,INT(MAX(0,G996)/Control!$B$7)+1))</x:f>
        <x:v>5</x:v>
      </x:c>
      <x:c r="J996" s="73" t="n">
        <x:f>INDEX(Drivers!$H$8:$H$13,B996)</x:f>
        <x:v>1</x:v>
      </x:c>
      <x:c r="K996" s="73" t="n">
        <x:f>IF(J996=1,INDEX(TrackMap!$I$8:$I$141,H996),INDEX(TrackMap!$L$8:$L$141,H996))</x:f>
        <x:v>2209</x:v>
      </x:c>
      <x:c r="L996" s="73" t="str">
        <x:f>INDEX(TrackMap!$F$8:$F$141,H996)</x:f>
        <x:v>→</x:v>
      </x:c>
      <x:c r="M996" s="87" t="n">
        <x:f>MAX(0,G996/Control!$B$17)</x:f>
        <x:v>0.8359394723577996</x:v>
      </x:c>
      <x:c r="N996" s="73" t="n">
        <x:f>IF(N990&gt;0,N990,IF(G996&gt;=Control!$B$17,A996,0))</x:f>
        <x:v>0</x:v>
      </x:c>
      <x:c r="O996" s="91" t="n">
        <x:f>IF(N996&gt;0,Control!$B$17+Control!$B$8+1-N996,G996)-B996/100000</x:f>
        <x:v>560.0793964797258</x:v>
      </x:c>
      <x:c r="P996" s="73" t="n">
        <x:f>COUNTIF($O$992:$O$997,"&gt;"&amp;O996)+1</x:f>
        <x:v>3</x:v>
      </x:c>
      <x:c r="Q996" s="83" t="n">
        <x:f>MAX($G$992:$G$997)-G996</x:f>
        <x:v>7.668105031859682</x:v>
      </x:c>
      <x:c r="R996" s="73" t="str">
        <x:f>INDEX(TrackMap!$B$8:$B$141,H996)</x:f>
        <x:v>短直道</x:v>
      </x:c>
    </x:row>
    <x:row r="997" ht="20" customHeight="1">
      <x:c r="A997" s="73" t="n">
        <x:v>164</x:v>
      </x:c>
      <x:c r="B997" s="73" t="n">
        <x:v>6</x:v>
      </x:c>
      <x:c r="C997" s="73" t="str">
        <x:f>INDEX(Drivers!$B$8:$B$13,B997)</x:f>
        <x:v>玫速</x:v>
      </x:c>
      <x:c r="D997" s="83" t="n">
        <x:f>G991</x:f>
        <x:v>553.3908735151706</x:v>
      </x:c>
      <x:c r="E997" s="83" t="str">
        <x:f>IF(A997=0,"GRID",IF(D997&gt;=Control!$B$17,"FINISHED",IF(AND(A997&gt;=INDEX(Drivers!$G$8:$G$13,B997),A997&lt;INDEX(Drivers!$G$8:$G$13,B997)+INDEX(Drivers!$J$8:$J$13,B997)),"PIT",IF(MOD(A997+INDEX(Drivers!$F$8:$F$13,B997),Control!$B$11)&lt;Control!$B$13,"BOOST","RACE"))))</x:f>
        <x:v>RACE</x:v>
      </x:c>
      <x:c r="F997" s="83" t="n">
        <x:f>IF(OR(E997="GRID",E997="FINISHED",E997="PIT"),0,MAX(Control!$B$15,(INDEX(Drivers!$D$8:$D$13,B997)+INDEX(Drivers!$E$8:$E$13,B997)*SIN((A997+INDEX(Drivers!$F$8:$F$13,B997)+Control!$B$16)*Control!$B$14))*INDEX(TrackMap!$M$8:$M$141,MOD(INT(D997)-1,Control!$B$7)+1)*IF(E997="BOOST",Control!$B$12,1)))</x:f>
        <x:v>3.2109632607642875</x:v>
      </x:c>
      <x:c r="G997" s="83" t="n">
        <x:f>IF(A997=0,D997,MIN(Control!$B$17,D997+F997))</x:f>
        <x:v>556.6018367759349</x:v>
      </x:c>
      <x:c r="H997" s="73" t="n">
        <x:f>MOD(INT(G997)-1,Control!$B$7)+1</x:f>
        <x:v>20</x:v>
      </x:c>
      <x:c r="I997" s="73" t="n">
        <x:f>MIN(Control!$B$6,MAX(1,INT(MAX(0,G997)/Control!$B$7)+1))</x:f>
        <x:v>5</x:v>
      </x:c>
      <x:c r="J997" s="73" t="n">
        <x:f>INDEX(Drivers!$H$8:$H$13,B997)</x:f>
        <x:v>2</x:v>
      </x:c>
      <x:c r="K997" s="73" t="n">
        <x:f>IF(J997=1,INDEX(TrackMap!$I$8:$I$141,H997),INDEX(TrackMap!$L$8:$L$141,H997))</x:f>
        <x:v>2205</x:v>
      </x:c>
      <x:c r="L997" s="73" t="str">
        <x:f>INDEX(TrackMap!$F$8:$F$141,H997)</x:f>
        <x:v>↑</x:v>
      </x:c>
      <x:c r="M997" s="87" t="n">
        <x:f>MAX(0,G997/Control!$B$17)</x:f>
        <x:v>0.8307490101133357</x:v>
      </x:c>
      <x:c r="N997" s="73" t="n">
        <x:f>IF(N991&gt;0,N991,IF(G997&gt;=Control!$B$17,A997,0))</x:f>
        <x:v>0</x:v>
      </x:c>
      <x:c r="O997" s="91" t="n">
        <x:f>IF(N997&gt;0,Control!$B$17+Control!$B$8+1-N997,G997)-B997/100000</x:f>
        <x:v>556.6017767759349</x:v>
      </x:c>
      <x:c r="P997" s="73" t="n">
        <x:f>COUNTIF($O$992:$O$997,"&gt;"&amp;O997)+1</x:f>
        <x:v>4</x:v>
      </x:c>
      <x:c r="Q997" s="83" t="n">
        <x:f>MAX($G$992:$G$997)-G997</x:f>
        <x:v>11.145714735650586</x:v>
      </x:c>
      <x:c r="R997" s="73" t="str">
        <x:f>INDEX(TrackMap!$B$8:$B$141,H997)</x:f>
        <x:v>西侧回弯</x:v>
      </x:c>
    </x:row>
    <x:row r="998" ht="20" customHeight="1">
      <x:c r="A998" s="73" t="n">
        <x:v>165</x:v>
      </x:c>
      <x:c r="B998" s="73" t="n">
        <x:v>1</x:v>
      </x:c>
      <x:c r="C998" s="73" t="str">
        <x:f>INDEX(Drivers!$B$8:$B$13,B998)</x:f>
        <x:v>赤焰</x:v>
      </x:c>
      <x:c r="D998" s="83" t="n">
        <x:f>G992</x:f>
        <x:v>567.7475515115855</x:v>
      </x:c>
      <x:c r="E998" s="83" t="str">
        <x:f>IF(A998=0,"GRID",IF(D998&gt;=Control!$B$17,"FINISHED",IF(AND(A998&gt;=INDEX(Drivers!$G$8:$G$13,B998),A998&lt;INDEX(Drivers!$G$8:$G$13,B998)+INDEX(Drivers!$J$8:$J$13,B998)),"PIT",IF(MOD(A998+INDEX(Drivers!$F$8:$F$13,B998),Control!$B$11)&lt;Control!$B$13,"BOOST","RACE"))))</x:f>
        <x:v>RACE</x:v>
      </x:c>
      <x:c r="F998" s="83" t="n">
        <x:f>IF(OR(E998="GRID",E998="FINISHED",E998="PIT"),0,MAX(Control!$B$15,(INDEX(Drivers!$D$8:$D$13,B998)+INDEX(Drivers!$E$8:$E$13,B998)*SIN((A998+INDEX(Drivers!$F$8:$F$13,B998)+Control!$B$16)*Control!$B$14))*INDEX(TrackMap!$M$8:$M$141,MOD(INT(D998)-1,Control!$B$7)+1)*IF(E998="BOOST",Control!$B$12,1)))</x:f>
        <x:v>3.5104379851873335</x:v>
      </x:c>
      <x:c r="G998" s="83" t="n">
        <x:f>IF(A998=0,D998,MIN(Control!$B$17,D998+F998))</x:f>
        <x:v>571.2579894967728</x:v>
      </x:c>
      <x:c r="H998" s="73" t="n">
        <x:f>MOD(INT(G998)-1,Control!$B$7)+1</x:f>
        <x:v>35</x:v>
      </x:c>
      <x:c r="I998" s="73" t="n">
        <x:f>MIN(Control!$B$6,MAX(1,INT(MAX(0,G998)/Control!$B$7)+1))</x:f>
        <x:v>5</x:v>
      </x:c>
      <x:c r="J998" s="73" t="n">
        <x:f>INDEX(Drivers!$H$8:$H$13,B998)</x:f>
        <x:v>1</x:v>
      </x:c>
      <x:c r="K998" s="73" t="n">
        <x:f>IF(J998=1,INDEX(TrackMap!$I$8:$I$141,H998),INDEX(TrackMap!$L$8:$L$141,H998))</x:f>
        <x:v>1010</x:v>
      </x:c>
      <x:c r="L998" s="73" t="str">
        <x:f>INDEX(TrackMap!$F$8:$F$141,H998)</x:f>
        <x:v>↑</x:v>
      </x:c>
      <x:c r="M998" s="87" t="n">
        <x:f>MAX(0,G998/Control!$B$17)</x:f>
        <x:v>0.8526238649205564</x:v>
      </x:c>
      <x:c r="N998" s="73" t="n">
        <x:f>IF(N992&gt;0,N992,IF(G998&gt;=Control!$B$17,A998,0))</x:f>
        <x:v>0</x:v>
      </x:c>
      <x:c r="O998" s="91" t="n">
        <x:f>IF(N998&gt;0,Control!$B$17+Control!$B$8+1-N998,G998)-B998/100000</x:f>
        <x:v>571.2579794967728</x:v>
      </x:c>
      <x:c r="P998" s="73" t="n">
        <x:f>COUNTIF($O$998:$O$1003,"&gt;"&amp;O998)+1</x:f>
        <x:v>1</x:v>
      </x:c>
      <x:c r="Q998" s="83" t="n">
        <x:f>MAX($G$998:$G$1003)-G998</x:f>
        <x:v>0</x:v>
      </x:c>
      <x:c r="R998" s="73" t="str">
        <x:f>INDEX(TrackMap!$B$8:$B$141,H998)</x:f>
        <x:v>西侧上坡弯</x:v>
      </x:c>
    </x:row>
    <x:row r="999" ht="20" customHeight="1">
      <x:c r="A999" s="73" t="n">
        <x:v>165</x:v>
      </x:c>
      <x:c r="B999" s="73" t="n">
        <x:v>2</x:v>
      </x:c>
      <x:c r="C999" s="73" t="str">
        <x:f>INDEX(Drivers!$B$8:$B$13,B999)</x:f>
        <x:v>蓝电</x:v>
      </x:c>
      <x:c r="D999" s="83" t="n">
        <x:f>G993</x:f>
        <x:v>546.3175400787741</x:v>
      </x:c>
      <x:c r="E999" s="83" t="str">
        <x:f>IF(A999=0,"GRID",IF(D999&gt;=Control!$B$17,"FINISHED",IF(AND(A999&gt;=INDEX(Drivers!$G$8:$G$13,B999),A999&lt;INDEX(Drivers!$G$8:$G$13,B999)+INDEX(Drivers!$J$8:$J$13,B999)),"PIT",IF(MOD(A999+INDEX(Drivers!$F$8:$F$13,B999),Control!$B$11)&lt;Control!$B$13,"BOOST","RACE"))))</x:f>
        <x:v>RACE</x:v>
      </x:c>
      <x:c r="F999" s="83" t="n">
        <x:f>IF(OR(E999="GRID",E999="FINISHED",E999="PIT"),0,MAX(Control!$B$15,(INDEX(Drivers!$D$8:$D$13,B999)+INDEX(Drivers!$E$8:$E$13,B999)*SIN((A999+INDEX(Drivers!$F$8:$F$13,B999)+Control!$B$16)*Control!$B$14))*INDEX(TrackMap!$M$8:$M$141,MOD(INT(D999)-1,Control!$B$7)+1)*IF(E999="BOOST",Control!$B$12,1)))</x:f>
        <x:v>3.40553405740273</x:v>
      </x:c>
      <x:c r="G999" s="83" t="n">
        <x:f>IF(A999=0,D999,MIN(Control!$B$17,D999+F999))</x:f>
        <x:v>549.7230741361768</x:v>
      </x:c>
      <x:c r="H999" s="73" t="n">
        <x:f>MOD(INT(G999)-1,Control!$B$7)+1</x:f>
        <x:v>13</x:v>
      </x:c>
      <x:c r="I999" s="73" t="n">
        <x:f>MIN(Control!$B$6,MAX(1,INT(MAX(0,G999)/Control!$B$7)+1))</x:f>
        <x:v>5</x:v>
      </x:c>
      <x:c r="J999" s="73" t="n">
        <x:f>INDEX(Drivers!$H$8:$H$13,B999)</x:f>
        <x:v>2</x:v>
      </x:c>
      <x:c r="K999" s="73" t="n">
        <x:f>IF(J999=1,INDEX(TrackMap!$I$8:$I$141,H999),INDEX(TrackMap!$L$8:$L$141,H999))</x:f>
        <x:v>2904</x:v>
      </x:c>
      <x:c r="L999" s="73" t="str">
        <x:f>INDEX(TrackMap!$F$8:$F$141,H999)</x:f>
        <x:v>↑</x:v>
      </x:c>
      <x:c r="M999" s="87" t="n">
        <x:f>MAX(0,G999/Control!$B$17)</x:f>
        <x:v>0.820482200203249</x:v>
      </x:c>
      <x:c r="N999" s="73" t="n">
        <x:f>IF(N993&gt;0,N993,IF(G999&gt;=Control!$B$17,A999,0))</x:f>
        <x:v>0</x:v>
      </x:c>
      <x:c r="O999" s="91" t="n">
        <x:f>IF(N999&gt;0,Control!$B$17+Control!$B$8+1-N999,G999)-B999/100000</x:f>
        <x:v>549.7230541361769</x:v>
      </x:c>
      <x:c r="P999" s="73" t="n">
        <x:f>COUNTIF($O$998:$O$1003,"&gt;"&amp;O999)+1</x:f>
        <x:v>6</x:v>
      </x:c>
      <x:c r="Q999" s="83" t="n">
        <x:f>MAX($G$998:$G$1003)-G999</x:f>
        <x:v>21.53491536059596</x:v>
      </x:c>
      <x:c r="R999" s="73" t="str">
        <x:f>INDEX(TrackMap!$B$8:$B$141,H999)</x:f>
        <x:v>西侧回弯</x:v>
      </x:c>
    </x:row>
    <x:row r="1000" ht="20" customHeight="1">
      <x:c r="A1000" s="73" t="n">
        <x:v>165</x:v>
      </x:c>
      <x:c r="B1000" s="73" t="n">
        <x:v>3</x:v>
      </x:c>
      <x:c r="C1000" s="73" t="str">
        <x:f>INDEX(Drivers!$B$8:$B$13,B1000)</x:f>
        <x:v>金翼</x:v>
      </x:c>
      <x:c r="D1000" s="83" t="n">
        <x:f>G994</x:f>
        <x:v>562.294073970405</x:v>
      </x:c>
      <x:c r="E1000" s="83" t="str">
        <x:f>IF(A1000=0,"GRID",IF(D1000&gt;=Control!$B$17,"FINISHED",IF(AND(A1000&gt;=INDEX(Drivers!$G$8:$G$13,B1000),A1000&lt;INDEX(Drivers!$G$8:$G$13,B1000)+INDEX(Drivers!$J$8:$J$13,B1000)),"PIT",IF(MOD(A1000+INDEX(Drivers!$F$8:$F$13,B1000),Control!$B$11)&lt;Control!$B$13,"BOOST","RACE"))))</x:f>
        <x:v>RACE</x:v>
      </x:c>
      <x:c r="F1000" s="83" t="n">
        <x:f>IF(OR(E1000="GRID",E1000="FINISHED",E1000="PIT"),0,MAX(Control!$B$15,(INDEX(Drivers!$D$8:$D$13,B1000)+INDEX(Drivers!$E$8:$E$13,B1000)*SIN((A1000+INDEX(Drivers!$F$8:$F$13,B1000)+Control!$B$16)*Control!$B$14))*INDEX(TrackMap!$M$8:$M$141,MOD(INT(D1000)-1,Control!$B$7)+1)*IF(E1000="BOOST",Control!$B$12,1)))</x:f>
        <x:v>3.17813054681071</x:v>
      </x:c>
      <x:c r="G1000" s="83" t="n">
        <x:f>IF(A1000=0,D1000,MIN(Control!$B$17,D1000+F1000))</x:f>
        <x:v>565.4722045172157</x:v>
      </x:c>
      <x:c r="H1000" s="73" t="n">
        <x:f>MOD(INT(G1000)-1,Control!$B$7)+1</x:f>
        <x:v>29</x:v>
      </x:c>
      <x:c r="I1000" s="73" t="n">
        <x:f>MIN(Control!$B$6,MAX(1,INT(MAX(0,G1000)/Control!$B$7)+1))</x:f>
        <x:v>5</x:v>
      </x:c>
      <x:c r="J1000" s="73" t="n">
        <x:f>INDEX(Drivers!$H$8:$H$13,B1000)</x:f>
        <x:v>1</x:v>
      </x:c>
      <x:c r="K1000" s="73" t="n">
        <x:f>IF(J1000=1,INDEX(TrackMap!$I$8:$I$141,H1000),INDEX(TrackMap!$L$8:$L$141,H1000))</x:f>
        <x:v>1610</x:v>
      </x:c>
      <x:c r="L1000" s="73" t="str">
        <x:f>INDEX(TrackMap!$F$8:$F$141,H1000)</x:f>
        <x:v>↑</x:v>
      </x:c>
      <x:c r="M1000" s="87" t="n">
        <x:f>MAX(0,G1000/Control!$B$17)</x:f>
        <x:v>0.8439883649510682</x:v>
      </x:c>
      <x:c r="N1000" s="73" t="n">
        <x:f>IF(N994&gt;0,N994,IF(G1000&gt;=Control!$B$17,A1000,0))</x:f>
        <x:v>0</x:v>
      </x:c>
      <x:c r="O1000" s="91" t="n">
        <x:f>IF(N1000&gt;0,Control!$B$17+Control!$B$8+1-N1000,G1000)-B1000/100000</x:f>
        <x:v>565.4721745172156</x:v>
      </x:c>
      <x:c r="P1000" s="73" t="n">
        <x:f>COUNTIF($O$998:$O$1003,"&gt;"&amp;O1000)+1</x:f>
        <x:v>2</x:v>
      </x:c>
      <x:c r="Q1000" s="83" t="n">
        <x:f>MAX($G$998:$G$1003)-G1000</x:f>
        <x:v>5.785784979557093</x:v>
      </x:c>
      <x:c r="R1000" s="73" t="str">
        <x:f>INDEX(TrackMap!$B$8:$B$141,H1000)</x:f>
        <x:v>西侧上坡弯</x:v>
      </x:c>
    </x:row>
    <x:row r="1001" ht="20" customHeight="1">
      <x:c r="A1001" s="73" t="n">
        <x:v>165</x:v>
      </x:c>
      <x:c r="B1001" s="73" t="n">
        <x:v>4</x:v>
      </x:c>
      <x:c r="C1001" s="73" t="str">
        <x:f>INDEX(Drivers!$B$8:$B$13,B1001)</x:f>
        <x:v>紫影</x:v>
      </x:c>
      <x:c r="D1001" s="83" t="n">
        <x:f>G995</x:f>
        <x:v>552.3653090815512</x:v>
      </x:c>
      <x:c r="E1001" s="83" t="str">
        <x:f>IF(A1001=0,"GRID",IF(D1001&gt;=Control!$B$17,"FINISHED",IF(AND(A1001&gt;=INDEX(Drivers!$G$8:$G$13,B1001),A1001&lt;INDEX(Drivers!$G$8:$G$13,B1001)+INDEX(Drivers!$J$8:$J$13,B1001)),"PIT",IF(MOD(A1001+INDEX(Drivers!$F$8:$F$13,B1001),Control!$B$11)&lt;Control!$B$13,"BOOST","RACE"))))</x:f>
        <x:v>BOOST</x:v>
      </x:c>
      <x:c r="F1001" s="83" t="n">
        <x:f>IF(OR(E1001="GRID",E1001="FINISHED",E1001="PIT"),0,MAX(Control!$B$15,(INDEX(Drivers!$D$8:$D$13,B1001)+INDEX(Drivers!$E$8:$E$13,B1001)*SIN((A1001+INDEX(Drivers!$F$8:$F$13,B1001)+Control!$B$16)*Control!$B$14))*INDEX(TrackMap!$M$8:$M$141,MOD(INT(D1001)-1,Control!$B$7)+1)*IF(E1001="BOOST",Control!$B$12,1)))</x:f>
        <x:v>3.189131772881623</x:v>
      </x:c>
      <x:c r="G1001" s="83" t="n">
        <x:f>IF(A1001=0,D1001,MIN(Control!$B$17,D1001+F1001))</x:f>
        <x:v>555.5544408544329</x:v>
      </x:c>
      <x:c r="H1001" s="73" t="n">
        <x:f>MOD(INT(G1001)-1,Control!$B$7)+1</x:f>
        <x:v>19</x:v>
      </x:c>
      <x:c r="I1001" s="73" t="n">
        <x:f>MIN(Control!$B$6,MAX(1,INT(MAX(0,G1001)/Control!$B$7)+1))</x:f>
        <x:v>5</x:v>
      </x:c>
      <x:c r="J1001" s="73" t="n">
        <x:f>INDEX(Drivers!$H$8:$H$13,B1001)</x:f>
        <x:v>2</x:v>
      </x:c>
      <x:c r="K1001" s="73" t="n">
        <x:f>IF(J1001=1,INDEX(TrackMap!$I$8:$I$141,H1001),INDEX(TrackMap!$L$8:$L$141,H1001))</x:f>
        <x:v>2304</x:v>
      </x:c>
      <x:c r="L1001" s="73" t="str">
        <x:f>INDEX(TrackMap!$F$8:$F$141,H1001)</x:f>
        <x:v>↑</x:v>
      </x:c>
      <x:c r="M1001" s="87" t="n">
        <x:f>MAX(0,G1001/Control!$B$17)</x:f>
        <x:v>0.8291857326185565</x:v>
      </x:c>
      <x:c r="N1001" s="73" t="n">
        <x:f>IF(N995&gt;0,N995,IF(G1001&gt;=Control!$B$17,A1001,0))</x:f>
        <x:v>0</x:v>
      </x:c>
      <x:c r="O1001" s="91" t="n">
        <x:f>IF(N1001&gt;0,Control!$B$17+Control!$B$8+1-N1001,G1001)-B1001/100000</x:f>
        <x:v>555.5544008544329</x:v>
      </x:c>
      <x:c r="P1001" s="73" t="n">
        <x:f>COUNTIF($O$998:$O$1003,"&gt;"&amp;O1001)+1</x:f>
        <x:v>5</x:v>
      </x:c>
      <x:c r="Q1001" s="83" t="n">
        <x:f>MAX($G$998:$G$1003)-G1001</x:f>
        <x:v>15.70354864233991</x:v>
      </x:c>
      <x:c r="R1001" s="73" t="str">
        <x:f>INDEX(TrackMap!$B$8:$B$141,H1001)</x:f>
        <x:v>西侧回弯</x:v>
      </x:c>
    </x:row>
    <x:row r="1002" ht="20" customHeight="1">
      <x:c r="A1002" s="73" t="n">
        <x:v>165</x:v>
      </x:c>
      <x:c r="B1002" s="73" t="n">
        <x:v>5</x:v>
      </x:c>
      <x:c r="C1002" s="73" t="str">
        <x:f>INDEX(Drivers!$B$8:$B$13,B1002)</x:f>
        <x:v>青锋</x:v>
      </x:c>
      <x:c r="D1002" s="83" t="n">
        <x:f>G996</x:f>
        <x:v>560.0794464797258</x:v>
      </x:c>
      <x:c r="E1002" s="83" t="str">
        <x:f>IF(A1002=0,"GRID",IF(D1002&gt;=Control!$B$17,"FINISHED",IF(AND(A1002&gt;=INDEX(Drivers!$G$8:$G$13,B1002),A1002&lt;INDEX(Drivers!$G$8:$G$13,B1002)+INDEX(Drivers!$J$8:$J$13,B1002)),"PIT",IF(MOD(A1002+INDEX(Drivers!$F$8:$F$13,B1002),Control!$B$11)&lt;Control!$B$13,"BOOST","RACE"))))</x:f>
        <x:v>RACE</x:v>
      </x:c>
      <x:c r="F1002" s="83" t="n">
        <x:f>IF(OR(E1002="GRID",E1002="FINISHED",E1002="PIT"),0,MAX(Control!$B$15,(INDEX(Drivers!$D$8:$D$13,B1002)+INDEX(Drivers!$E$8:$E$13,B1002)*SIN((A1002+INDEX(Drivers!$F$8:$F$13,B1002)+Control!$B$16)*Control!$B$14))*INDEX(TrackMap!$M$8:$M$141,MOD(INT(D1002)-1,Control!$B$7)+1)*IF(E1002="BOOST",Control!$B$12,1)))</x:f>
        <x:v>2.4313593250386245</x:v>
      </x:c>
      <x:c r="G1002" s="83" t="n">
        <x:f>IF(A1002=0,D1002,MIN(Control!$B$17,D1002+F1002))</x:f>
        <x:v>562.5108058047645</x:v>
      </x:c>
      <x:c r="H1002" s="73" t="n">
        <x:f>MOD(INT(G1002)-1,Control!$B$7)+1</x:f>
        <x:v>26</x:v>
      </x:c>
      <x:c r="I1002" s="73" t="n">
        <x:f>MIN(Control!$B$6,MAX(1,INT(MAX(0,G1002)/Control!$B$7)+1))</x:f>
        <x:v>5</x:v>
      </x:c>
      <x:c r="J1002" s="73" t="n">
        <x:f>INDEX(Drivers!$H$8:$H$13,B1002)</x:f>
        <x:v>1</x:v>
      </x:c>
      <x:c r="K1002" s="73" t="n">
        <x:f>IF(J1002=1,INDEX(TrackMap!$I$8:$I$141,H1002),INDEX(TrackMap!$L$8:$L$141,H1002))</x:f>
        <x:v>1910</x:v>
      </x:c>
      <x:c r="L1002" s="73" t="str">
        <x:f>INDEX(TrackMap!$F$8:$F$141,H1002)</x:f>
        <x:v>↑</x:v>
      </x:c>
      <x:c r="M1002" s="87" t="n">
        <x:f>MAX(0,G1002/Control!$B$17)</x:f>
        <x:v>0.8395683668727828</x:v>
      </x:c>
      <x:c r="N1002" s="73" t="n">
        <x:f>IF(N996&gt;0,N996,IF(G1002&gt;=Control!$B$17,A1002,0))</x:f>
        <x:v>0</x:v>
      </x:c>
      <x:c r="O1002" s="91" t="n">
        <x:f>IF(N1002&gt;0,Control!$B$17+Control!$B$8+1-N1002,G1002)-B1002/100000</x:f>
        <x:v>562.5107558047645</x:v>
      </x:c>
      <x:c r="P1002" s="73" t="n">
        <x:f>COUNTIF($O$998:$O$1003,"&gt;"&amp;O1002)+1</x:f>
        <x:v>3</x:v>
      </x:c>
      <x:c r="Q1002" s="83" t="n">
        <x:f>MAX($G$998:$G$1003)-G1002</x:f>
        <x:v>8.74718369200832</x:v>
      </x:c>
      <x:c r="R1002" s="73" t="str">
        <x:f>INDEX(TrackMap!$B$8:$B$141,H1002)</x:f>
        <x:v>西侧上坡弯</x:v>
      </x:c>
    </x:row>
    <x:row r="1003" ht="20" customHeight="1">
      <x:c r="A1003" s="73" t="n">
        <x:v>165</x:v>
      </x:c>
      <x:c r="B1003" s="73" t="n">
        <x:v>6</x:v>
      </x:c>
      <x:c r="C1003" s="73" t="str">
        <x:f>INDEX(Drivers!$B$8:$B$13,B1003)</x:f>
        <x:v>玫速</x:v>
      </x:c>
      <x:c r="D1003" s="83" t="n">
        <x:f>G997</x:f>
        <x:v>556.6018367759349</x:v>
      </x:c>
      <x:c r="E1003" s="83" t="str">
        <x:f>IF(A1003=0,"GRID",IF(D1003&gt;=Control!$B$17,"FINISHED",IF(AND(A1003&gt;=INDEX(Drivers!$G$8:$G$13,B1003),A1003&lt;INDEX(Drivers!$G$8:$G$13,B1003)+INDEX(Drivers!$J$8:$J$13,B1003)),"PIT",IF(MOD(A1003+INDEX(Drivers!$F$8:$F$13,B1003),Control!$B$11)&lt;Control!$B$13,"BOOST","RACE"))))</x:f>
        <x:v>RACE</x:v>
      </x:c>
      <x:c r="F1003" s="83" t="n">
        <x:f>IF(OR(E1003="GRID",E1003="FINISHED",E1003="PIT"),0,MAX(Control!$B$15,(INDEX(Drivers!$D$8:$D$13,B1003)+INDEX(Drivers!$E$8:$E$13,B1003)*SIN((A1003+INDEX(Drivers!$F$8:$F$13,B1003)+Control!$B$16)*Control!$B$14))*INDEX(TrackMap!$M$8:$M$141,MOD(INT(D1003)-1,Control!$B$7)+1)*IF(E1003="BOOST",Control!$B$12,1)))</x:f>
        <x:v>3.3039948061217106</x:v>
      </x:c>
      <x:c r="G1003" s="83" t="n">
        <x:f>IF(A1003=0,D1003,MIN(Control!$B$17,D1003+F1003))</x:f>
        <x:v>559.9058315820566</x:v>
      </x:c>
      <x:c r="H1003" s="73" t="n">
        <x:f>MOD(INT(G1003)-1,Control!$B$7)+1</x:f>
        <x:v>23</x:v>
      </x:c>
      <x:c r="I1003" s="73" t="n">
        <x:f>MIN(Control!$B$6,MAX(1,INT(MAX(0,G1003)/Control!$B$7)+1))</x:f>
        <x:v>5</x:v>
      </x:c>
      <x:c r="J1003" s="73" t="n">
        <x:f>INDEX(Drivers!$H$8:$H$13,B1003)</x:f>
        <x:v>2</x:v>
      </x:c>
      <x:c r="K1003" s="73" t="n">
        <x:f>IF(J1003=1,INDEX(TrackMap!$I$8:$I$141,H1003),INDEX(TrackMap!$L$8:$L$141,H1003))</x:f>
        <x:v>2108</x:v>
      </x:c>
      <x:c r="L1003" s="73" t="str">
        <x:f>INDEX(TrackMap!$F$8:$F$141,H1003)</x:f>
        <x:v>→</x:v>
      </x:c>
      <x:c r="M1003" s="87" t="n">
        <x:f>MAX(0,G1003/Control!$B$17)</x:f>
        <x:v>0.8356803456448606</x:v>
      </x:c>
      <x:c r="N1003" s="73" t="n">
        <x:f>IF(N997&gt;0,N997,IF(G1003&gt;=Control!$B$17,A1003,0))</x:f>
        <x:v>0</x:v>
      </x:c>
      <x:c r="O1003" s="91" t="n">
        <x:f>IF(N1003&gt;0,Control!$B$17+Control!$B$8+1-N1003,G1003)-B1003/100000</x:f>
        <x:v>559.9057715820567</x:v>
      </x:c>
      <x:c r="P1003" s="73" t="n">
        <x:f>COUNTIF($O$998:$O$1003,"&gt;"&amp;O1003)+1</x:f>
        <x:v>4</x:v>
      </x:c>
      <x:c r="Q1003" s="83" t="n">
        <x:f>MAX($G$998:$G$1003)-G1003</x:f>
        <x:v>11.352157914716145</x:v>
      </x:c>
      <x:c r="R1003" s="73" t="str">
        <x:f>INDEX(TrackMap!$B$8:$B$141,H1003)</x:f>
        <x:v>短直道</x:v>
      </x:c>
    </x:row>
    <x:row r="1004" ht="20" customHeight="1">
      <x:c r="A1004" s="73" t="n">
        <x:v>166</x:v>
      </x:c>
      <x:c r="B1004" s="73" t="n">
        <x:v>1</x:v>
      </x:c>
      <x:c r="C1004" s="73" t="str">
        <x:f>INDEX(Drivers!$B$8:$B$13,B1004)</x:f>
        <x:v>赤焰</x:v>
      </x:c>
      <x:c r="D1004" s="83" t="n">
        <x:f>G998</x:f>
        <x:v>571.2579894967728</x:v>
      </x:c>
      <x:c r="E1004" s="83" t="str">
        <x:f>IF(A1004=0,"GRID",IF(D1004&gt;=Control!$B$17,"FINISHED",IF(AND(A1004&gt;=INDEX(Drivers!$G$8:$G$13,B1004),A1004&lt;INDEX(Drivers!$G$8:$G$13,B1004)+INDEX(Drivers!$J$8:$J$13,B1004)),"PIT",IF(MOD(A1004+INDEX(Drivers!$F$8:$F$13,B1004),Control!$B$11)&lt;Control!$B$13,"BOOST","RACE"))))</x:f>
        <x:v>RACE</x:v>
      </x:c>
      <x:c r="F1004" s="83" t="n">
        <x:f>IF(OR(E1004="GRID",E1004="FINISHED",E1004="PIT"),0,MAX(Control!$B$15,(INDEX(Drivers!$D$8:$D$13,B1004)+INDEX(Drivers!$E$8:$E$13,B1004)*SIN((A1004+INDEX(Drivers!$F$8:$F$13,B1004)+Control!$B$16)*Control!$B$14))*INDEX(TrackMap!$M$8:$M$141,MOD(INT(D1004)-1,Control!$B$7)+1)*IF(E1004="BOOST",Control!$B$12,1)))</x:f>
        <x:v>2.595452836235179</x:v>
      </x:c>
      <x:c r="G1004" s="83" t="n">
        <x:f>IF(A1004=0,D1004,MIN(Control!$B$17,D1004+F1004))</x:f>
        <x:v>573.8534423330079</x:v>
      </x:c>
      <x:c r="H1004" s="73" t="n">
        <x:f>MOD(INT(G1004)-1,Control!$B$7)+1</x:f>
        <x:v>37</x:v>
      </x:c>
      <x:c r="I1004" s="73" t="n">
        <x:f>MIN(Control!$B$6,MAX(1,INT(MAX(0,G1004)/Control!$B$7)+1))</x:f>
        <x:v>5</x:v>
      </x:c>
      <x:c r="J1004" s="73" t="n">
        <x:f>INDEX(Drivers!$H$8:$H$13,B1004)</x:f>
        <x:v>1</x:v>
      </x:c>
      <x:c r="K1004" s="73" t="n">
        <x:f>IF(J1004=1,INDEX(TrackMap!$I$8:$I$141,H1004),INDEX(TrackMap!$L$8:$L$141,H1004))</x:f>
        <x:v>813</x:v>
      </x:c>
      <x:c r="L1004" s="73" t="str">
        <x:f>INDEX(TrackMap!$F$8:$F$141,H1004)</x:f>
        <x:v>→</x:v>
      </x:c>
      <x:c r="M1004" s="87" t="n">
        <x:f>MAX(0,G1004/Control!$B$17)</x:f>
        <x:v>0.8564976751238924</x:v>
      </x:c>
      <x:c r="N1004" s="73" t="n">
        <x:f>IF(N998&gt;0,N998,IF(G1004&gt;=Control!$B$17,A1004,0))</x:f>
        <x:v>0</x:v>
      </x:c>
      <x:c r="O1004" s="91" t="n">
        <x:f>IF(N1004&gt;0,Control!$B$17+Control!$B$8+1-N1004,G1004)-B1004/100000</x:f>
        <x:v>573.853432333008</x:v>
      </x:c>
      <x:c r="P1004" s="73" t="n">
        <x:f>COUNTIF($O$1004:$O$1009,"&gt;"&amp;O1004)+1</x:f>
        <x:v>1</x:v>
      </x:c>
      <x:c r="Q1004" s="83" t="n">
        <x:f>MAX($G$1004:$G$1009)-G1004</x:f>
        <x:v>0</x:v>
      </x:c>
      <x:c r="R1004" s="73" t="str">
        <x:f>INDEX(TrackMap!$B$8:$B$141,H1004)</x:f>
        <x:v>西侧发卡弯</x:v>
      </x:c>
    </x:row>
    <x:row r="1005" ht="20" customHeight="1">
      <x:c r="A1005" s="73" t="n">
        <x:v>166</x:v>
      </x:c>
      <x:c r="B1005" s="73" t="n">
        <x:v>2</x:v>
      </x:c>
      <x:c r="C1005" s="73" t="str">
        <x:f>INDEX(Drivers!$B$8:$B$13,B1005)</x:f>
        <x:v>蓝电</x:v>
      </x:c>
      <x:c r="D1005" s="83" t="n">
        <x:f>G999</x:f>
        <x:v>549.7230741361768</x:v>
      </x:c>
      <x:c r="E1005" s="83" t="str">
        <x:f>IF(A1005=0,"GRID",IF(D1005&gt;=Control!$B$17,"FINISHED",IF(AND(A1005&gt;=INDEX(Drivers!$G$8:$G$13,B1005),A1005&lt;INDEX(Drivers!$G$8:$G$13,B1005)+INDEX(Drivers!$J$8:$J$13,B1005)),"PIT",IF(MOD(A1005+INDEX(Drivers!$F$8:$F$13,B1005),Control!$B$11)&lt;Control!$B$13,"BOOST","RACE"))))</x:f>
        <x:v>RACE</x:v>
      </x:c>
      <x:c r="F1005" s="83" t="n">
        <x:f>IF(OR(E1005="GRID",E1005="FINISHED",E1005="PIT"),0,MAX(Control!$B$15,(INDEX(Drivers!$D$8:$D$13,B1005)+INDEX(Drivers!$E$8:$E$13,B1005)*SIN((A1005+INDEX(Drivers!$F$8:$F$13,B1005)+Control!$B$16)*Control!$B$14))*INDEX(TrackMap!$M$8:$M$141,MOD(INT(D1005)-1,Control!$B$7)+1)*IF(E1005="BOOST",Control!$B$12,1)))</x:f>
        <x:v>2.827449192109961</x:v>
      </x:c>
      <x:c r="G1005" s="83" t="n">
        <x:f>IF(A1005=0,D1005,MIN(Control!$B$17,D1005+F1005))</x:f>
        <x:v>552.5505233282868</x:v>
      </x:c>
      <x:c r="H1005" s="73" t="n">
        <x:f>MOD(INT(G1005)-1,Control!$B$7)+1</x:f>
        <x:v>16</x:v>
      </x:c>
      <x:c r="I1005" s="73" t="n">
        <x:f>MIN(Control!$B$6,MAX(1,INT(MAX(0,G1005)/Control!$B$7)+1))</x:f>
        <x:v>5</x:v>
      </x:c>
      <x:c r="J1005" s="73" t="n">
        <x:f>INDEX(Drivers!$H$8:$H$13,B1005)</x:f>
        <x:v>2</x:v>
      </x:c>
      <x:c r="K1005" s="73" t="n">
        <x:f>IF(J1005=1,INDEX(TrackMap!$I$8:$I$141,H1005),INDEX(TrackMap!$L$8:$L$141,H1005))</x:f>
        <x:v>2604</x:v>
      </x:c>
      <x:c r="L1005" s="73" t="str">
        <x:f>INDEX(TrackMap!$F$8:$F$141,H1005)</x:f>
        <x:v>↑</x:v>
      </x:c>
      <x:c r="M1005" s="87" t="n">
        <x:f>MAX(0,G1005/Control!$B$17)</x:f>
        <x:v>0.8247022736243086</x:v>
      </x:c>
      <x:c r="N1005" s="73" t="n">
        <x:f>IF(N999&gt;0,N999,IF(G1005&gt;=Control!$B$17,A1005,0))</x:f>
        <x:v>0</x:v>
      </x:c>
      <x:c r="O1005" s="91" t="n">
        <x:f>IF(N1005&gt;0,Control!$B$17+Control!$B$8+1-N1005,G1005)-B1005/100000</x:f>
        <x:v>552.5505033282868</x:v>
      </x:c>
      <x:c r="P1005" s="73" t="n">
        <x:f>COUNTIF($O$1004:$O$1009,"&gt;"&amp;O1005)+1</x:f>
        <x:v>6</x:v>
      </x:c>
      <x:c r="Q1005" s="83" t="n">
        <x:f>MAX($G$1004:$G$1009)-G1005</x:f>
        <x:v>21.30291900472116</x:v>
      </x:c>
      <x:c r="R1005" s="73" t="str">
        <x:f>INDEX(TrackMap!$B$8:$B$141,H1005)</x:f>
        <x:v>西侧回弯</x:v>
      </x:c>
    </x:row>
    <x:row r="1006" ht="20" customHeight="1">
      <x:c r="A1006" s="73" t="n">
        <x:v>166</x:v>
      </x:c>
      <x:c r="B1006" s="73" t="n">
        <x:v>3</x:v>
      </x:c>
      <x:c r="C1006" s="73" t="str">
        <x:f>INDEX(Drivers!$B$8:$B$13,B1006)</x:f>
        <x:v>金翼</x:v>
      </x:c>
      <x:c r="D1006" s="83" t="n">
        <x:f>G1000</x:f>
        <x:v>565.4722045172157</x:v>
      </x:c>
      <x:c r="E1006" s="83" t="str">
        <x:f>IF(A1006=0,"GRID",IF(D1006&gt;=Control!$B$17,"FINISHED",IF(AND(A1006&gt;=INDEX(Drivers!$G$8:$G$13,B1006),A1006&lt;INDEX(Drivers!$G$8:$G$13,B1006)+INDEX(Drivers!$J$8:$J$13,B1006)),"PIT",IF(MOD(A1006+INDEX(Drivers!$F$8:$F$13,B1006),Control!$B$11)&lt;Control!$B$13,"BOOST","RACE"))))</x:f>
        <x:v>RACE</x:v>
      </x:c>
      <x:c r="F1006" s="83" t="n">
        <x:f>IF(OR(E1006="GRID",E1006="FINISHED",E1006="PIT"),0,MAX(Control!$B$15,(INDEX(Drivers!$D$8:$D$13,B1006)+INDEX(Drivers!$E$8:$E$13,B1006)*SIN((A1006+INDEX(Drivers!$F$8:$F$13,B1006)+Control!$B$16)*Control!$B$14))*INDEX(TrackMap!$M$8:$M$141,MOD(INT(D1006)-1,Control!$B$7)+1)*IF(E1006="BOOST",Control!$B$12,1)))</x:f>
        <x:v>3.929394151801873</x:v>
      </x:c>
      <x:c r="G1006" s="83" t="n">
        <x:f>IF(A1006=0,D1006,MIN(Control!$B$17,D1006+F1006))</x:f>
        <x:v>569.4015986690175</x:v>
      </x:c>
      <x:c r="H1006" s="73" t="n">
        <x:f>MOD(INT(G1006)-1,Control!$B$7)+1</x:f>
        <x:v>33</x:v>
      </x:c>
      <x:c r="I1006" s="73" t="n">
        <x:f>MIN(Control!$B$6,MAX(1,INT(MAX(0,G1006)/Control!$B$7)+1))</x:f>
        <x:v>5</x:v>
      </x:c>
      <x:c r="J1006" s="73" t="n">
        <x:f>INDEX(Drivers!$H$8:$H$13,B1006)</x:f>
        <x:v>1</x:v>
      </x:c>
      <x:c r="K1006" s="73" t="n">
        <x:f>IF(J1006=1,INDEX(TrackMap!$I$8:$I$141,H1006),INDEX(TrackMap!$L$8:$L$141,H1006))</x:f>
        <x:v>1210</x:v>
      </x:c>
      <x:c r="L1006" s="73" t="str">
        <x:f>INDEX(TrackMap!$F$8:$F$141,H1006)</x:f>
        <x:v>↑</x:v>
      </x:c>
      <x:c r="M1006" s="87" t="n">
        <x:f>MAX(0,G1006/Control!$B$17)</x:f>
        <x:v>0.8498531323418171</x:v>
      </x:c>
      <x:c r="N1006" s="73" t="n">
        <x:f>IF(N1000&gt;0,N1000,IF(G1006&gt;=Control!$B$17,A1006,0))</x:f>
        <x:v>0</x:v>
      </x:c>
      <x:c r="O1006" s="91" t="n">
        <x:f>IF(N1006&gt;0,Control!$B$17+Control!$B$8+1-N1006,G1006)-B1006/100000</x:f>
        <x:v>569.4015686690175</x:v>
      </x:c>
      <x:c r="P1006" s="73" t="n">
        <x:f>COUNTIF($O$1004:$O$1009,"&gt;"&amp;O1006)+1</x:f>
        <x:v>2</x:v>
      </x:c>
      <x:c r="Q1006" s="83" t="n">
        <x:f>MAX($G$1004:$G$1009)-G1006</x:f>
        <x:v>4.451843663990417</x:v>
      </x:c>
      <x:c r="R1006" s="73" t="str">
        <x:f>INDEX(TrackMap!$B$8:$B$141,H1006)</x:f>
        <x:v>西侧上坡弯</x:v>
      </x:c>
    </x:row>
    <x:row r="1007" ht="20" customHeight="1">
      <x:c r="A1007" s="73" t="n">
        <x:v>166</x:v>
      </x:c>
      <x:c r="B1007" s="73" t="n">
        <x:v>4</x:v>
      </x:c>
      <x:c r="C1007" s="73" t="str">
        <x:f>INDEX(Drivers!$B$8:$B$13,B1007)</x:f>
        <x:v>紫影</x:v>
      </x:c>
      <x:c r="D1007" s="83" t="n">
        <x:f>G1001</x:f>
        <x:v>555.5544408544329</x:v>
      </x:c>
      <x:c r="E1007" s="83" t="str">
        <x:f>IF(A1007=0,"GRID",IF(D1007&gt;=Control!$B$17,"FINISHED",IF(AND(A1007&gt;=INDEX(Drivers!$G$8:$G$13,B1007),A1007&lt;INDEX(Drivers!$G$8:$G$13,B1007)+INDEX(Drivers!$J$8:$J$13,B1007)),"PIT",IF(MOD(A1007+INDEX(Drivers!$F$8:$F$13,B1007),Control!$B$11)&lt;Control!$B$13,"BOOST","RACE"))))</x:f>
        <x:v>BOOST</x:v>
      </x:c>
      <x:c r="F1007" s="83" t="n">
        <x:f>IF(OR(E1007="GRID",E1007="FINISHED",E1007="PIT"),0,MAX(Control!$B$15,(INDEX(Drivers!$D$8:$D$13,B1007)+INDEX(Drivers!$E$8:$E$13,B1007)*SIN((A1007+INDEX(Drivers!$F$8:$F$13,B1007)+Control!$B$16)*Control!$B$14))*INDEX(TrackMap!$M$8:$M$141,MOD(INT(D1007)-1,Control!$B$7)+1)*IF(E1007="BOOST",Control!$B$12,1)))</x:f>
        <x:v>3.2677725505020123</x:v>
      </x:c>
      <x:c r="G1007" s="83" t="n">
        <x:f>IF(A1007=0,D1007,MIN(Control!$B$17,D1007+F1007))</x:f>
        <x:v>558.8222134049349</x:v>
      </x:c>
      <x:c r="H1007" s="73" t="n">
        <x:f>MOD(INT(G1007)-1,Control!$B$7)+1</x:f>
        <x:v>22</x:v>
      </x:c>
      <x:c r="I1007" s="73" t="n">
        <x:f>MIN(Control!$B$6,MAX(1,INT(MAX(0,G1007)/Control!$B$7)+1))</x:f>
        <x:v>5</x:v>
      </x:c>
      <x:c r="J1007" s="73" t="n">
        <x:f>INDEX(Drivers!$H$8:$H$13,B1007)</x:f>
        <x:v>2</x:v>
      </x:c>
      <x:c r="K1007" s="73" t="n">
        <x:f>IF(J1007=1,INDEX(TrackMap!$I$8:$I$141,H1007),INDEX(TrackMap!$L$8:$L$141,H1007))</x:f>
        <x:v>2107</x:v>
      </x:c>
      <x:c r="L1007" s="73" t="str">
        <x:f>INDEX(TrackMap!$F$8:$F$141,H1007)</x:f>
        <x:v>→</x:v>
      </x:c>
      <x:c r="M1007" s="87" t="n">
        <x:f>MAX(0,G1007/Control!$B$17)</x:f>
        <x:v>0.8340630050819924</x:v>
      </x:c>
      <x:c r="N1007" s="73" t="n">
        <x:f>IF(N1001&gt;0,N1001,IF(G1007&gt;=Control!$B$17,A1007,0))</x:f>
        <x:v>0</x:v>
      </x:c>
      <x:c r="O1007" s="91" t="n">
        <x:f>IF(N1007&gt;0,Control!$B$17+Control!$B$8+1-N1007,G1007)-B1007/100000</x:f>
        <x:v>558.8221734049349</x:v>
      </x:c>
      <x:c r="P1007" s="73" t="n">
        <x:f>COUNTIF($O$1004:$O$1009,"&gt;"&amp;O1007)+1</x:f>
        <x:v>5</x:v>
      </x:c>
      <x:c r="Q1007" s="83" t="n">
        <x:f>MAX($G$1004:$G$1009)-G1007</x:f>
        <x:v>15.031228928073006</x:v>
      </x:c>
      <x:c r="R1007" s="73" t="str">
        <x:f>INDEX(TrackMap!$B$8:$B$141,H1007)</x:f>
        <x:v>短直道</x:v>
      </x:c>
    </x:row>
    <x:row r="1008" ht="20" customHeight="1">
      <x:c r="A1008" s="73" t="n">
        <x:v>166</x:v>
      </x:c>
      <x:c r="B1008" s="73" t="n">
        <x:v>5</x:v>
      </x:c>
      <x:c r="C1008" s="73" t="str">
        <x:f>INDEX(Drivers!$B$8:$B$13,B1008)</x:f>
        <x:v>青锋</x:v>
      </x:c>
      <x:c r="D1008" s="83" t="n">
        <x:f>G1002</x:f>
        <x:v>562.5108058047645</x:v>
      </x:c>
      <x:c r="E1008" s="83" t="str">
        <x:f>IF(A1008=0,"GRID",IF(D1008&gt;=Control!$B$17,"FINISHED",IF(AND(A1008&gt;=INDEX(Drivers!$G$8:$G$13,B1008),A1008&lt;INDEX(Drivers!$G$8:$G$13,B1008)+INDEX(Drivers!$J$8:$J$13,B1008)),"PIT",IF(MOD(A1008+INDEX(Drivers!$F$8:$F$13,B1008),Control!$B$11)&lt;Control!$B$13,"BOOST","RACE"))))</x:f>
        <x:v>RACE</x:v>
      </x:c>
      <x:c r="F1008" s="83" t="n">
        <x:f>IF(OR(E1008="GRID",E1008="FINISHED",E1008="PIT"),0,MAX(Control!$B$15,(INDEX(Drivers!$D$8:$D$13,B1008)+INDEX(Drivers!$E$8:$E$13,B1008)*SIN((A1008+INDEX(Drivers!$F$8:$F$13,B1008)+Control!$B$16)*Control!$B$14))*INDEX(TrackMap!$M$8:$M$141,MOD(INT(D1008)-1,Control!$B$7)+1)*IF(E1008="BOOST",Control!$B$12,1)))</x:f>
        <x:v>2.482631881363108</x:v>
      </x:c>
      <x:c r="G1008" s="83" t="n">
        <x:f>IF(A1008=0,D1008,MIN(Control!$B$17,D1008+F1008))</x:f>
        <x:v>564.9934376861275</x:v>
      </x:c>
      <x:c r="H1008" s="73" t="n">
        <x:f>MOD(INT(G1008)-1,Control!$B$7)+1</x:f>
        <x:v>28</x:v>
      </x:c>
      <x:c r="I1008" s="73" t="n">
        <x:f>MIN(Control!$B$6,MAX(1,INT(MAX(0,G1008)/Control!$B$7)+1))</x:f>
        <x:v>5</x:v>
      </x:c>
      <x:c r="J1008" s="73" t="n">
        <x:f>INDEX(Drivers!$H$8:$H$13,B1008)</x:f>
        <x:v>1</x:v>
      </x:c>
      <x:c r="K1008" s="73" t="n">
        <x:f>IF(J1008=1,INDEX(TrackMap!$I$8:$I$141,H1008),INDEX(TrackMap!$L$8:$L$141,H1008))</x:f>
        <x:v>1710</x:v>
      </x:c>
      <x:c r="L1008" s="73" t="str">
        <x:f>INDEX(TrackMap!$F$8:$F$141,H1008)</x:f>
        <x:v>↑</x:v>
      </x:c>
      <x:c r="M1008" s="87" t="n">
        <x:f>MAX(0,G1008/Control!$B$17)</x:f>
        <x:v>0.8432737875912352</x:v>
      </x:c>
      <x:c r="N1008" s="73" t="n">
        <x:f>IF(N1002&gt;0,N1002,IF(G1008&gt;=Control!$B$17,A1008,0))</x:f>
        <x:v>0</x:v>
      </x:c>
      <x:c r="O1008" s="91" t="n">
        <x:f>IF(N1008&gt;0,Control!$B$17+Control!$B$8+1-N1008,G1008)-B1008/100000</x:f>
        <x:v>564.9933876861276</x:v>
      </x:c>
      <x:c r="P1008" s="73" t="n">
        <x:f>COUNTIF($O$1004:$O$1009,"&gt;"&amp;O1008)+1</x:f>
        <x:v>3</x:v>
      </x:c>
      <x:c r="Q1008" s="83" t="n">
        <x:f>MAX($G$1004:$G$1009)-G1008</x:f>
        <x:v>8.860004646880384</x:v>
      </x:c>
      <x:c r="R1008" s="73" t="str">
        <x:f>INDEX(TrackMap!$B$8:$B$141,H1008)</x:f>
        <x:v>西侧上坡弯</x:v>
      </x:c>
    </x:row>
    <x:row r="1009" ht="20" customHeight="1">
      <x:c r="A1009" s="73" t="n">
        <x:v>166</x:v>
      </x:c>
      <x:c r="B1009" s="73" t="n">
        <x:v>6</x:v>
      </x:c>
      <x:c r="C1009" s="73" t="str">
        <x:f>INDEX(Drivers!$B$8:$B$13,B1009)</x:f>
        <x:v>玫速</x:v>
      </x:c>
      <x:c r="D1009" s="83" t="n">
        <x:f>G1003</x:f>
        <x:v>559.9058315820566</x:v>
      </x:c>
      <x:c r="E1009" s="83" t="str">
        <x:f>IF(A1009=0,"GRID",IF(D1009&gt;=Control!$B$17,"FINISHED",IF(AND(A1009&gt;=INDEX(Drivers!$G$8:$G$13,B1009),A1009&lt;INDEX(Drivers!$G$8:$G$13,B1009)+INDEX(Drivers!$J$8:$J$13,B1009)),"PIT",IF(MOD(A1009+INDEX(Drivers!$F$8:$F$13,B1009),Control!$B$11)&lt;Control!$B$13,"BOOST","RACE"))))</x:f>
        <x:v>RACE</x:v>
      </x:c>
      <x:c r="F1009" s="83" t="n">
        <x:f>IF(OR(E1009="GRID",E1009="FINISHED",E1009="PIT"),0,MAX(Control!$B$15,(INDEX(Drivers!$D$8:$D$13,B1009)+INDEX(Drivers!$E$8:$E$13,B1009)*SIN((A1009+INDEX(Drivers!$F$8:$F$13,B1009)+Control!$B$16)*Control!$B$14))*INDEX(TrackMap!$M$8:$M$141,MOD(INT(D1009)-1,Control!$B$7)+1)*IF(E1009="BOOST",Control!$B$12,1)))</x:f>
        <x:v>4.279924780199675</x:v>
      </x:c>
      <x:c r="G1009" s="83" t="n">
        <x:f>IF(A1009=0,D1009,MIN(Control!$B$17,D1009+F1009))</x:f>
        <x:v>564.1857563622563</x:v>
      </x:c>
      <x:c r="H1009" s="73" t="n">
        <x:f>MOD(INT(G1009)-1,Control!$B$7)+1</x:f>
        <x:v>28</x:v>
      </x:c>
      <x:c r="I1009" s="73" t="n">
        <x:f>MIN(Control!$B$6,MAX(1,INT(MAX(0,G1009)/Control!$B$7)+1))</x:f>
        <x:v>5</x:v>
      </x:c>
      <x:c r="J1009" s="73" t="n">
        <x:f>INDEX(Drivers!$H$8:$H$13,B1009)</x:f>
        <x:v>2</x:v>
      </x:c>
      <x:c r="K1009" s="73" t="n">
        <x:f>IF(J1009=1,INDEX(TrackMap!$I$8:$I$141,H1009),INDEX(TrackMap!$L$8:$L$141,H1009))</x:f>
        <x:v>1711</x:v>
      </x:c>
      <x:c r="L1009" s="73" t="str">
        <x:f>INDEX(TrackMap!$F$8:$F$141,H1009)</x:f>
        <x:v>↑</x:v>
      </x:c>
      <x:c r="M1009" s="87" t="n">
        <x:f>MAX(0,G1009/Control!$B$17)</x:f>
        <x:v>0.8420682930779945</x:v>
      </x:c>
      <x:c r="N1009" s="73" t="n">
        <x:f>IF(N1003&gt;0,N1003,IF(G1009&gt;=Control!$B$17,A1009,0))</x:f>
        <x:v>0</x:v>
      </x:c>
      <x:c r="O1009" s="91" t="n">
        <x:f>IF(N1009&gt;0,Control!$B$17+Control!$B$8+1-N1009,G1009)-B1009/100000</x:f>
        <x:v>564.1856963622563</x:v>
      </x:c>
      <x:c r="P1009" s="73" t="n">
        <x:f>COUNTIF($O$1004:$O$1009,"&gt;"&amp;O1009)+1</x:f>
        <x:v>4</x:v>
      </x:c>
      <x:c r="Q1009" s="83" t="n">
        <x:f>MAX($G$1004:$G$1009)-G1009</x:f>
        <x:v>9.667685970751677</x:v>
      </x:c>
      <x:c r="R1009" s="73" t="str">
        <x:f>INDEX(TrackMap!$B$8:$B$141,H1009)</x:f>
        <x:v>西侧上坡弯</x:v>
      </x:c>
    </x:row>
    <x:row r="1010" ht="20" customHeight="1">
      <x:c r="A1010" s="73" t="n">
        <x:v>167</x:v>
      </x:c>
      <x:c r="B1010" s="73" t="n">
        <x:v>1</x:v>
      </x:c>
      <x:c r="C1010" s="73" t="str">
        <x:f>INDEX(Drivers!$B$8:$B$13,B1010)</x:f>
        <x:v>赤焰</x:v>
      </x:c>
      <x:c r="D1010" s="83" t="n">
        <x:f>G1004</x:f>
        <x:v>573.8534423330079</x:v>
      </x:c>
      <x:c r="E1010" s="83" t="str">
        <x:f>IF(A1010=0,"GRID",IF(D1010&gt;=Control!$B$17,"FINISHED",IF(AND(A1010&gt;=INDEX(Drivers!$G$8:$G$13,B1010),A1010&lt;INDEX(Drivers!$G$8:$G$13,B1010)+INDEX(Drivers!$J$8:$J$13,B1010)),"PIT",IF(MOD(A1010+INDEX(Drivers!$F$8:$F$13,B1010),Control!$B$11)&lt;Control!$B$13,"BOOST","RACE"))))</x:f>
        <x:v>RACE</x:v>
      </x:c>
      <x:c r="F1010" s="83" t="n">
        <x:f>IF(OR(E1010="GRID",E1010="FINISHED",E1010="PIT"),0,MAX(Control!$B$15,(INDEX(Drivers!$D$8:$D$13,B1010)+INDEX(Drivers!$E$8:$E$13,B1010)*SIN((A1010+INDEX(Drivers!$F$8:$F$13,B1010)+Control!$B$16)*Control!$B$14))*INDEX(TrackMap!$M$8:$M$141,MOD(INT(D1010)-1,Control!$B$7)+1)*IF(E1010="BOOST",Control!$B$12,1)))</x:f>
        <x:v>2.4868097725787113</x:v>
      </x:c>
      <x:c r="G1010" s="83" t="n">
        <x:f>IF(A1010=0,D1010,MIN(Control!$B$17,D1010+F1010))</x:f>
        <x:v>576.3402521055866</x:v>
      </x:c>
      <x:c r="H1010" s="73" t="n">
        <x:f>MOD(INT(G1010)-1,Control!$B$7)+1</x:f>
        <x:v>40</x:v>
      </x:c>
      <x:c r="I1010" s="73" t="n">
        <x:f>MIN(Control!$B$6,MAX(1,INT(MAX(0,G1010)/Control!$B$7)+1))</x:f>
        <x:v>5</x:v>
      </x:c>
      <x:c r="J1010" s="73" t="n">
        <x:f>INDEX(Drivers!$H$8:$H$13,B1010)</x:f>
        <x:v>1</x:v>
      </x:c>
      <x:c r="K1010" s="73" t="n">
        <x:f>IF(J1010=1,INDEX(TrackMap!$I$8:$I$141,H1010),INDEX(TrackMap!$L$8:$L$141,H1010))</x:f>
        <x:v>816</x:v>
      </x:c>
      <x:c r="L1010" s="73" t="str">
        <x:f>INDEX(TrackMap!$F$8:$F$141,H1010)</x:f>
        <x:v>→</x:v>
      </x:c>
      <x:c r="M1010" s="87" t="n">
        <x:f>MAX(0,G1010/Control!$B$17)</x:f>
        <x:v>0.8602093315008755</x:v>
      </x:c>
      <x:c r="N1010" s="73" t="n">
        <x:f>IF(N1004&gt;0,N1004,IF(G1010&gt;=Control!$B$17,A1010,0))</x:f>
        <x:v>0</x:v>
      </x:c>
      <x:c r="O1010" s="91" t="n">
        <x:f>IF(N1010&gt;0,Control!$B$17+Control!$B$8+1-N1010,G1010)-B1010/100000</x:f>
        <x:v>576.3402421055866</x:v>
      </x:c>
      <x:c r="P1010" s="73" t="n">
        <x:f>COUNTIF($O$1010:$O$1015,"&gt;"&amp;O1010)+1</x:f>
        <x:v>1</x:v>
      </x:c>
      <x:c r="Q1010" s="83" t="n">
        <x:f>MAX($G$1010:$G$1015)-G1010</x:f>
        <x:v>0</x:v>
      </x:c>
      <x:c r="R1010" s="73" t="str">
        <x:f>INDEX(TrackMap!$B$8:$B$141,H1010)</x:f>
        <x:v>西侧发卡弯</x:v>
      </x:c>
    </x:row>
    <x:row r="1011" ht="20" customHeight="1">
      <x:c r="A1011" s="73" t="n">
        <x:v>167</x:v>
      </x:c>
      <x:c r="B1011" s="73" t="n">
        <x:v>2</x:v>
      </x:c>
      <x:c r="C1011" s="73" t="str">
        <x:f>INDEX(Drivers!$B$8:$B$13,B1011)</x:f>
        <x:v>蓝电</x:v>
      </x:c>
      <x:c r="D1011" s="83" t="n">
        <x:f>G1005</x:f>
        <x:v>552.5505233282868</x:v>
      </x:c>
      <x:c r="E1011" s="83" t="str">
        <x:f>IF(A1011=0,"GRID",IF(D1011&gt;=Control!$B$17,"FINISHED",IF(AND(A1011&gt;=INDEX(Drivers!$G$8:$G$13,B1011),A1011&lt;INDEX(Drivers!$G$8:$G$13,B1011)+INDEX(Drivers!$J$8:$J$13,B1011)),"PIT",IF(MOD(A1011+INDEX(Drivers!$F$8:$F$13,B1011),Control!$B$11)&lt;Control!$B$13,"BOOST","RACE"))))</x:f>
        <x:v>RACE</x:v>
      </x:c>
      <x:c r="F1011" s="83" t="n">
        <x:f>IF(OR(E1011="GRID",E1011="FINISHED",E1011="PIT"),0,MAX(Control!$B$15,(INDEX(Drivers!$D$8:$D$13,B1011)+INDEX(Drivers!$E$8:$E$13,B1011)*SIN((A1011+INDEX(Drivers!$F$8:$F$13,B1011)+Control!$B$16)*Control!$B$14))*INDEX(TrackMap!$M$8:$M$141,MOD(INT(D1011)-1,Control!$B$7)+1)*IF(E1011="BOOST",Control!$B$12,1)))</x:f>
        <x:v>2.9938380757169023</x:v>
      </x:c>
      <x:c r="G1011" s="83" t="n">
        <x:f>IF(A1011=0,D1011,MIN(Control!$B$17,D1011+F1011))</x:f>
        <x:v>555.5443614040037</x:v>
      </x:c>
      <x:c r="H1011" s="73" t="n">
        <x:f>MOD(INT(G1011)-1,Control!$B$7)+1</x:f>
        <x:v>19</x:v>
      </x:c>
      <x:c r="I1011" s="73" t="n">
        <x:f>MIN(Control!$B$6,MAX(1,INT(MAX(0,G1011)/Control!$B$7)+1))</x:f>
        <x:v>5</x:v>
      </x:c>
      <x:c r="J1011" s="73" t="n">
        <x:f>INDEX(Drivers!$H$8:$H$13,B1011)</x:f>
        <x:v>2</x:v>
      </x:c>
      <x:c r="K1011" s="73" t="n">
        <x:f>IF(J1011=1,INDEX(TrackMap!$I$8:$I$141,H1011),INDEX(TrackMap!$L$8:$L$141,H1011))</x:f>
        <x:v>2304</x:v>
      </x:c>
      <x:c r="L1011" s="73" t="str">
        <x:f>INDEX(TrackMap!$F$8:$F$141,H1011)</x:f>
        <x:v>↑</x:v>
      </x:c>
      <x:c r="M1011" s="87" t="n">
        <x:f>MAX(0,G1011/Control!$B$17)</x:f>
        <x:v>0.8291706886626921</x:v>
      </x:c>
      <x:c r="N1011" s="73" t="n">
        <x:f>IF(N1005&gt;0,N1005,IF(G1011&gt;=Control!$B$17,A1011,0))</x:f>
        <x:v>0</x:v>
      </x:c>
      <x:c r="O1011" s="91" t="n">
        <x:f>IF(N1011&gt;0,Control!$B$17+Control!$B$8+1-N1011,G1011)-B1011/100000</x:f>
        <x:v>555.5443414040037</x:v>
      </x:c>
      <x:c r="P1011" s="73" t="n">
        <x:f>COUNTIF($O$1010:$O$1015,"&gt;"&amp;O1011)+1</x:f>
        <x:v>6</x:v>
      </x:c>
      <x:c r="Q1011" s="83" t="n">
        <x:f>MAX($G$1010:$G$1015)-G1011</x:f>
        <x:v>20.795890701582948</x:v>
      </x:c>
      <x:c r="R1011" s="73" t="str">
        <x:f>INDEX(TrackMap!$B$8:$B$141,H1011)</x:f>
        <x:v>西侧回弯</x:v>
      </x:c>
    </x:row>
    <x:row r="1012" ht="20" customHeight="1">
      <x:c r="A1012" s="73" t="n">
        <x:v>167</x:v>
      </x:c>
      <x:c r="B1012" s="73" t="n">
        <x:v>3</x:v>
      </x:c>
      <x:c r="C1012" s="73" t="str">
        <x:f>INDEX(Drivers!$B$8:$B$13,B1012)</x:f>
        <x:v>金翼</x:v>
      </x:c>
      <x:c r="D1012" s="83" t="n">
        <x:f>G1006</x:f>
        <x:v>569.4015986690175</x:v>
      </x:c>
      <x:c r="E1012" s="83" t="str">
        <x:f>IF(A1012=0,"GRID",IF(D1012&gt;=Control!$B$17,"FINISHED",IF(AND(A1012&gt;=INDEX(Drivers!$G$8:$G$13,B1012),A1012&lt;INDEX(Drivers!$G$8:$G$13,B1012)+INDEX(Drivers!$J$8:$J$13,B1012)),"PIT",IF(MOD(A1012+INDEX(Drivers!$F$8:$F$13,B1012),Control!$B$11)&lt;Control!$B$13,"BOOST","RACE"))))</x:f>
        <x:v>RACE</x:v>
      </x:c>
      <x:c r="F1012" s="83" t="n">
        <x:f>IF(OR(E1012="GRID",E1012="FINISHED",E1012="PIT"),0,MAX(Control!$B$15,(INDEX(Drivers!$D$8:$D$13,B1012)+INDEX(Drivers!$E$8:$E$13,B1012)*SIN((A1012+INDEX(Drivers!$F$8:$F$13,B1012)+Control!$B$16)*Control!$B$14))*INDEX(TrackMap!$M$8:$M$141,MOD(INT(D1012)-1,Control!$B$7)+1)*IF(E1012="BOOST",Control!$B$12,1)))</x:f>
        <x:v>3.7532145392289626</x:v>
      </x:c>
      <x:c r="G1012" s="83" t="n">
        <x:f>IF(A1012=0,D1012,MIN(Control!$B$17,D1012+F1012))</x:f>
        <x:v>573.1548132082464</x:v>
      </x:c>
      <x:c r="H1012" s="73" t="n">
        <x:f>MOD(INT(G1012)-1,Control!$B$7)+1</x:f>
        <x:v>37</x:v>
      </x:c>
      <x:c r="I1012" s="73" t="n">
        <x:f>MIN(Control!$B$6,MAX(1,INT(MAX(0,G1012)/Control!$B$7)+1))</x:f>
        <x:v>5</x:v>
      </x:c>
      <x:c r="J1012" s="73" t="n">
        <x:f>INDEX(Drivers!$H$8:$H$13,B1012)</x:f>
        <x:v>1</x:v>
      </x:c>
      <x:c r="K1012" s="73" t="n">
        <x:f>IF(J1012=1,INDEX(TrackMap!$I$8:$I$141,H1012),INDEX(TrackMap!$L$8:$L$141,H1012))</x:f>
        <x:v>813</x:v>
      </x:c>
      <x:c r="L1012" s="73" t="str">
        <x:f>INDEX(TrackMap!$F$8:$F$141,H1012)</x:f>
        <x:v>→</x:v>
      </x:c>
      <x:c r="M1012" s="87" t="n">
        <x:f>MAX(0,G1012/Control!$B$17)</x:f>
        <x:v>0.855454945086935</x:v>
      </x:c>
      <x:c r="N1012" s="73" t="n">
        <x:f>IF(N1006&gt;0,N1006,IF(G1012&gt;=Control!$B$17,A1012,0))</x:f>
        <x:v>0</x:v>
      </x:c>
      <x:c r="O1012" s="91" t="n">
        <x:f>IF(N1012&gt;0,Control!$B$17+Control!$B$8+1-N1012,G1012)-B1012/100000</x:f>
        <x:v>573.1547832082464</x:v>
      </x:c>
      <x:c r="P1012" s="73" t="n">
        <x:f>COUNTIF($O$1010:$O$1015,"&gt;"&amp;O1012)+1</x:f>
        <x:v>2</x:v>
      </x:c>
      <x:c r="Q1012" s="83" t="n">
        <x:f>MAX($G$1010:$G$1015)-G1012</x:f>
        <x:v>3.185438897340191</x:v>
      </x:c>
      <x:c r="R1012" s="73" t="str">
        <x:f>INDEX(TrackMap!$B$8:$B$141,H1012)</x:f>
        <x:v>西侧发卡弯</x:v>
      </x:c>
    </x:row>
    <x:row r="1013" ht="20" customHeight="1">
      <x:c r="A1013" s="73" t="n">
        <x:v>167</x:v>
      </x:c>
      <x:c r="B1013" s="73" t="n">
        <x:v>4</x:v>
      </x:c>
      <x:c r="C1013" s="73" t="str">
        <x:f>INDEX(Drivers!$B$8:$B$13,B1013)</x:f>
        <x:v>紫影</x:v>
      </x:c>
      <x:c r="D1013" s="83" t="n">
        <x:f>G1007</x:f>
        <x:v>558.8222134049349</x:v>
      </x:c>
      <x:c r="E1013" s="83" t="str">
        <x:f>IF(A1013=0,"GRID",IF(D1013&gt;=Control!$B$17,"FINISHED",IF(AND(A1013&gt;=INDEX(Drivers!$G$8:$G$13,B1013),A1013&lt;INDEX(Drivers!$G$8:$G$13,B1013)+INDEX(Drivers!$J$8:$J$13,B1013)),"PIT",IF(MOD(A1013+INDEX(Drivers!$F$8:$F$13,B1013),Control!$B$11)&lt;Control!$B$13,"BOOST","RACE"))))</x:f>
        <x:v>RACE</x:v>
      </x:c>
      <x:c r="F1013" s="83" t="n">
        <x:f>IF(OR(E1013="GRID",E1013="FINISHED",E1013="PIT"),0,MAX(Control!$B$15,(INDEX(Drivers!$D$8:$D$13,B1013)+INDEX(Drivers!$E$8:$E$13,B1013)*SIN((A1013+INDEX(Drivers!$F$8:$F$13,B1013)+Control!$B$16)*Control!$B$14))*INDEX(TrackMap!$M$8:$M$141,MOD(INT(D1013)-1,Control!$B$7)+1)*IF(E1013="BOOST",Control!$B$12,1)))</x:f>
        <x:v>3.245206685450395</x:v>
      </x:c>
      <x:c r="G1013" s="83" t="n">
        <x:f>IF(A1013=0,D1013,MIN(Control!$B$17,D1013+F1013))</x:f>
        <x:v>562.0674200903853</x:v>
      </x:c>
      <x:c r="H1013" s="73" t="n">
        <x:f>MOD(INT(G1013)-1,Control!$B$7)+1</x:f>
        <x:v>26</x:v>
      </x:c>
      <x:c r="I1013" s="73" t="n">
        <x:f>MIN(Control!$B$6,MAX(1,INT(MAX(0,G1013)/Control!$B$7)+1))</x:f>
        <x:v>5</x:v>
      </x:c>
      <x:c r="J1013" s="73" t="n">
        <x:f>INDEX(Drivers!$H$8:$H$13,B1013)</x:f>
        <x:v>2</x:v>
      </x:c>
      <x:c r="K1013" s="73" t="n">
        <x:f>IF(J1013=1,INDEX(TrackMap!$I$8:$I$141,H1013),INDEX(TrackMap!$L$8:$L$141,H1013))</x:f>
        <x:v>1911</x:v>
      </x:c>
      <x:c r="L1013" s="73" t="str">
        <x:f>INDEX(TrackMap!$F$8:$F$141,H1013)</x:f>
        <x:v>↑</x:v>
      </x:c>
      <x:c r="M1013" s="87" t="n">
        <x:f>MAX(0,G1013/Control!$B$17)</x:f>
        <x:v>0.8389065971498288</x:v>
      </x:c>
      <x:c r="N1013" s="73" t="n">
        <x:f>IF(N1007&gt;0,N1007,IF(G1013&gt;=Control!$B$17,A1013,0))</x:f>
        <x:v>0</x:v>
      </x:c>
      <x:c r="O1013" s="91" t="n">
        <x:f>IF(N1013&gt;0,Control!$B$17+Control!$B$8+1-N1013,G1013)-B1013/100000</x:f>
        <x:v>562.0673800903853</x:v>
      </x:c>
      <x:c r="P1013" s="73" t="n">
        <x:f>COUNTIF($O$1010:$O$1015,"&gt;"&amp;O1013)+1</x:f>
        <x:v>5</x:v>
      </x:c>
      <x:c r="Q1013" s="83" t="n">
        <x:f>MAX($G$1010:$G$1015)-G1013</x:f>
        <x:v>14.272832015201288</x:v>
      </x:c>
      <x:c r="R1013" s="73" t="str">
        <x:f>INDEX(TrackMap!$B$8:$B$141,H1013)</x:f>
        <x:v>西侧上坡弯</x:v>
      </x:c>
    </x:row>
    <x:row r="1014" ht="20" customHeight="1">
      <x:c r="A1014" s="73" t="n">
        <x:v>167</x:v>
      </x:c>
      <x:c r="B1014" s="73" t="n">
        <x:v>5</x:v>
      </x:c>
      <x:c r="C1014" s="73" t="str">
        <x:f>INDEX(Drivers!$B$8:$B$13,B1014)</x:f>
        <x:v>青锋</x:v>
      </x:c>
      <x:c r="D1014" s="83" t="n">
        <x:f>G1008</x:f>
        <x:v>564.9934376861275</x:v>
      </x:c>
      <x:c r="E1014" s="83" t="str">
        <x:f>IF(A1014=0,"GRID",IF(D1014&gt;=Control!$B$17,"FINISHED",IF(AND(A1014&gt;=INDEX(Drivers!$G$8:$G$13,B1014),A1014&lt;INDEX(Drivers!$G$8:$G$13,B1014)+INDEX(Drivers!$J$8:$J$13,B1014)),"PIT",IF(MOD(A1014+INDEX(Drivers!$F$8:$F$13,B1014),Control!$B$11)&lt;Control!$B$13,"BOOST","RACE"))))</x:f>
        <x:v>RACE</x:v>
      </x:c>
      <x:c r="F1014" s="83" t="n">
        <x:f>IF(OR(E1014="GRID",E1014="FINISHED",E1014="PIT"),0,MAX(Control!$B$15,(INDEX(Drivers!$D$8:$D$13,B1014)+INDEX(Drivers!$E$8:$E$13,B1014)*SIN((A1014+INDEX(Drivers!$F$8:$F$13,B1014)+Control!$B$16)*Control!$B$14))*INDEX(TrackMap!$M$8:$M$141,MOD(INT(D1014)-1,Control!$B$7)+1)*IF(E1014="BOOST",Control!$B$12,1)))</x:f>
        <x:v>3.3091135466665236</x:v>
      </x:c>
      <x:c r="G1014" s="83" t="n">
        <x:f>IF(A1014=0,D1014,MIN(Control!$B$17,D1014+F1014))</x:f>
        <x:v>568.302551232794</x:v>
      </x:c>
      <x:c r="H1014" s="73" t="n">
        <x:f>MOD(INT(G1014)-1,Control!$B$7)+1</x:f>
        <x:v>32</x:v>
      </x:c>
      <x:c r="I1014" s="73" t="n">
        <x:f>MIN(Control!$B$6,MAX(1,INT(MAX(0,G1014)/Control!$B$7)+1))</x:f>
        <x:v>5</x:v>
      </x:c>
      <x:c r="J1014" s="73" t="n">
        <x:f>INDEX(Drivers!$H$8:$H$13,B1014)</x:f>
        <x:v>1</x:v>
      </x:c>
      <x:c r="K1014" s="73" t="n">
        <x:f>IF(J1014=1,INDEX(TrackMap!$I$8:$I$141,H1014),INDEX(TrackMap!$L$8:$L$141,H1014))</x:f>
        <x:v>1310</x:v>
      </x:c>
      <x:c r="L1014" s="73" t="str">
        <x:f>INDEX(TrackMap!$F$8:$F$141,H1014)</x:f>
        <x:v>↑</x:v>
      </x:c>
      <x:c r="M1014" s="87" t="n">
        <x:f>MAX(0,G1014/Control!$B$17)</x:f>
        <x:v>0.8482127630340209</x:v>
      </x:c>
      <x:c r="N1014" s="73" t="n">
        <x:f>IF(N1008&gt;0,N1008,IF(G1014&gt;=Control!$B$17,A1014,0))</x:f>
        <x:v>0</x:v>
      </x:c>
      <x:c r="O1014" s="91" t="n">
        <x:f>IF(N1014&gt;0,Control!$B$17+Control!$B$8+1-N1014,G1014)-B1014/100000</x:f>
        <x:v>568.302501232794</x:v>
      </x:c>
      <x:c r="P1014" s="73" t="n">
        <x:f>COUNTIF($O$1010:$O$1015,"&gt;"&amp;O1014)+1</x:f>
        <x:v>4</x:v>
      </x:c>
      <x:c r="Q1014" s="83" t="n">
        <x:f>MAX($G$1010:$G$1015)-G1014</x:f>
        <x:v>8.037700872792584</x:v>
      </x:c>
      <x:c r="R1014" s="73" t="str">
        <x:f>INDEX(TrackMap!$B$8:$B$141,H1014)</x:f>
        <x:v>西侧上坡弯</x:v>
      </x:c>
    </x:row>
    <x:row r="1015" ht="20" customHeight="1">
      <x:c r="A1015" s="73" t="n">
        <x:v>167</x:v>
      </x:c>
      <x:c r="B1015" s="73" t="n">
        <x:v>6</x:v>
      </x:c>
      <x:c r="C1015" s="73" t="str">
        <x:f>INDEX(Drivers!$B$8:$B$13,B1015)</x:f>
        <x:v>玫速</x:v>
      </x:c>
      <x:c r="D1015" s="83" t="n">
        <x:f>G1009</x:f>
        <x:v>564.1857563622563</x:v>
      </x:c>
      <x:c r="E1015" s="83" t="str">
        <x:f>IF(A1015=0,"GRID",IF(D1015&gt;=Control!$B$17,"FINISHED",IF(AND(A1015&gt;=INDEX(Drivers!$G$8:$G$13,B1015),A1015&lt;INDEX(Drivers!$G$8:$G$13,B1015)+INDEX(Drivers!$J$8:$J$13,B1015)),"PIT",IF(MOD(A1015+INDEX(Drivers!$F$8:$F$13,B1015),Control!$B$11)&lt;Control!$B$13,"BOOST","RACE"))))</x:f>
        <x:v>RACE</x:v>
      </x:c>
      <x:c r="F1015" s="83" t="n">
        <x:f>IF(OR(E1015="GRID",E1015="FINISHED",E1015="PIT"),0,MAX(Control!$B$15,(INDEX(Drivers!$D$8:$D$13,B1015)+INDEX(Drivers!$E$8:$E$13,B1015)*SIN((A1015+INDEX(Drivers!$F$8:$F$13,B1015)+Control!$B$16)*Control!$B$14))*INDEX(TrackMap!$M$8:$M$141,MOD(INT(D1015)-1,Control!$B$7)+1)*IF(E1015="BOOST",Control!$B$12,1)))</x:f>
        <x:v>4.242761778694577</x:v>
      </x:c>
      <x:c r="G1015" s="83" t="n">
        <x:f>IF(A1015=0,D1015,MIN(Control!$B$17,D1015+F1015))</x:f>
        <x:v>568.4285181409508</x:v>
      </x:c>
      <x:c r="H1015" s="73" t="n">
        <x:f>MOD(INT(G1015)-1,Control!$B$7)+1</x:f>
        <x:v>32</x:v>
      </x:c>
      <x:c r="I1015" s="73" t="n">
        <x:f>MIN(Control!$B$6,MAX(1,INT(MAX(0,G1015)/Control!$B$7)+1))</x:f>
        <x:v>5</x:v>
      </x:c>
      <x:c r="J1015" s="73" t="n">
        <x:f>INDEX(Drivers!$H$8:$H$13,B1015)</x:f>
        <x:v>2</x:v>
      </x:c>
      <x:c r="K1015" s="73" t="n">
        <x:f>IF(J1015=1,INDEX(TrackMap!$I$8:$I$141,H1015),INDEX(TrackMap!$L$8:$L$141,H1015))</x:f>
        <x:v>1311</x:v>
      </x:c>
      <x:c r="L1015" s="73" t="str">
        <x:f>INDEX(TrackMap!$F$8:$F$141,H1015)</x:f>
        <x:v>↑</x:v>
      </x:c>
      <x:c r="M1015" s="87" t="n">
        <x:f>MAX(0,G1015/Control!$B$17)</x:f>
        <x:v>0.8484007733447027</x:v>
      </x:c>
      <x:c r="N1015" s="73" t="n">
        <x:f>IF(N1009&gt;0,N1009,IF(G1015&gt;=Control!$B$17,A1015,0))</x:f>
        <x:v>0</x:v>
      </x:c>
      <x:c r="O1015" s="91" t="n">
        <x:f>IF(N1015&gt;0,Control!$B$17+Control!$B$8+1-N1015,G1015)-B1015/100000</x:f>
        <x:v>568.4284581409509</x:v>
      </x:c>
      <x:c r="P1015" s="73" t="n">
        <x:f>COUNTIF($O$1010:$O$1015,"&gt;"&amp;O1015)+1</x:f>
        <x:v>3</x:v>
      </x:c>
      <x:c r="Q1015" s="83" t="n">
        <x:f>MAX($G$1010:$G$1015)-G1015</x:f>
        <x:v>7.9117339646358005</x:v>
      </x:c>
      <x:c r="R1015" s="73" t="str">
        <x:f>INDEX(TrackMap!$B$8:$B$141,H1015)</x:f>
        <x:v>西侧上坡弯</x:v>
      </x:c>
    </x:row>
    <x:row r="1016" ht="20" customHeight="1">
      <x:c r="A1016" s="73" t="n">
        <x:v>168</x:v>
      </x:c>
      <x:c r="B1016" s="73" t="n">
        <x:v>1</x:v>
      </x:c>
      <x:c r="C1016" s="73" t="str">
        <x:f>INDEX(Drivers!$B$8:$B$13,B1016)</x:f>
        <x:v>赤焰</x:v>
      </x:c>
      <x:c r="D1016" s="83" t="n">
        <x:f>G1010</x:f>
        <x:v>576.3402521055866</x:v>
      </x:c>
      <x:c r="E1016" s="83" t="str">
        <x:f>IF(A1016=0,"GRID",IF(D1016&gt;=Control!$B$17,"FINISHED",IF(AND(A1016&gt;=INDEX(Drivers!$G$8:$G$13,B1016),A1016&lt;INDEX(Drivers!$G$8:$G$13,B1016)+INDEX(Drivers!$J$8:$J$13,B1016)),"PIT",IF(MOD(A1016+INDEX(Drivers!$F$8:$F$13,B1016),Control!$B$11)&lt;Control!$B$13,"BOOST","RACE"))))</x:f>
        <x:v>RACE</x:v>
      </x:c>
      <x:c r="F1016" s="83" t="n">
        <x:f>IF(OR(E1016="GRID",E1016="FINISHED",E1016="PIT"),0,MAX(Control!$B$15,(INDEX(Drivers!$D$8:$D$13,B1016)+INDEX(Drivers!$E$8:$E$13,B1016)*SIN((A1016+INDEX(Drivers!$F$8:$F$13,B1016)+Control!$B$16)*Control!$B$14))*INDEX(TrackMap!$M$8:$M$141,MOD(INT(D1016)-1,Control!$B$7)+1)*IF(E1016="BOOST",Control!$B$12,1)))</x:f>
        <x:v>2.426916766474974</x:v>
      </x:c>
      <x:c r="G1016" s="83" t="n">
        <x:f>IF(A1016=0,D1016,MIN(Control!$B$17,D1016+F1016))</x:f>
        <x:v>578.7671688720616</x:v>
      </x:c>
      <x:c r="H1016" s="73" t="n">
        <x:f>MOD(INT(G1016)-1,Control!$B$7)+1</x:f>
        <x:v>42</x:v>
      </x:c>
      <x:c r="I1016" s="73" t="n">
        <x:f>MIN(Control!$B$6,MAX(1,INT(MAX(0,G1016)/Control!$B$7)+1))</x:f>
        <x:v>5</x:v>
      </x:c>
      <x:c r="J1016" s="73" t="n">
        <x:f>INDEX(Drivers!$H$8:$H$13,B1016)</x:f>
        <x:v>1</x:v>
      </x:c>
      <x:c r="K1016" s="73" t="n">
        <x:f>IF(J1016=1,INDEX(TrackMap!$I$8:$I$141,H1016),INDEX(TrackMap!$L$8:$L$141,H1016))</x:f>
        <x:v>818</x:v>
      </x:c>
      <x:c r="L1016" s="73" t="str">
        <x:f>INDEX(TrackMap!$F$8:$F$141,H1016)</x:f>
        <x:v>→</x:v>
      </x:c>
      <x:c r="M1016" s="87" t="n">
        <x:f>MAX(0,G1016/Control!$B$17)</x:f>
        <x:v>0.8638315953314352</x:v>
      </x:c>
      <x:c r="N1016" s="73" t="n">
        <x:f>IF(N1010&gt;0,N1010,IF(G1016&gt;=Control!$B$17,A1016,0))</x:f>
        <x:v>0</x:v>
      </x:c>
      <x:c r="O1016" s="91" t="n">
        <x:f>IF(N1016&gt;0,Control!$B$17+Control!$B$8+1-N1016,G1016)-B1016/100000</x:f>
        <x:v>578.7671588720616</x:v>
      </x:c>
      <x:c r="P1016" s="73" t="n">
        <x:f>COUNTIF($O$1016:$O$1021,"&gt;"&amp;O1016)+1</x:f>
        <x:v>1</x:v>
      </x:c>
      <x:c r="Q1016" s="83" t="n">
        <x:f>MAX($G$1016:$G$1021)-G1016</x:f>
        <x:v>0</x:v>
      </x:c>
      <x:c r="R1016" s="73" t="str">
        <x:f>INDEX(TrackMap!$B$8:$B$141,H1016)</x:f>
        <x:v>西侧发卡弯</x:v>
      </x:c>
    </x:row>
    <x:row r="1017" ht="20" customHeight="1">
      <x:c r="A1017" s="73" t="n">
        <x:v>168</x:v>
      </x:c>
      <x:c r="B1017" s="73" t="n">
        <x:v>2</x:v>
      </x:c>
      <x:c r="C1017" s="73" t="str">
        <x:f>INDEX(Drivers!$B$8:$B$13,B1017)</x:f>
        <x:v>蓝电</x:v>
      </x:c>
      <x:c r="D1017" s="83" t="n">
        <x:f>G1011</x:f>
        <x:v>555.5443614040037</x:v>
      </x:c>
      <x:c r="E1017" s="83" t="str">
        <x:f>IF(A1017=0,"GRID",IF(D1017&gt;=Control!$B$17,"FINISHED",IF(AND(A1017&gt;=INDEX(Drivers!$G$8:$G$13,B1017),A1017&lt;INDEX(Drivers!$G$8:$G$13,B1017)+INDEX(Drivers!$J$8:$J$13,B1017)),"PIT",IF(MOD(A1017+INDEX(Drivers!$F$8:$F$13,B1017),Control!$B$11)&lt;Control!$B$13,"BOOST","RACE"))))</x:f>
        <x:v>RACE</x:v>
      </x:c>
      <x:c r="F1017" s="83" t="n">
        <x:f>IF(OR(E1017="GRID",E1017="FINISHED",E1017="PIT"),0,MAX(Control!$B$15,(INDEX(Drivers!$D$8:$D$13,B1017)+INDEX(Drivers!$E$8:$E$13,B1017)*SIN((A1017+INDEX(Drivers!$F$8:$F$13,B1017)+Control!$B$16)*Control!$B$14))*INDEX(TrackMap!$M$8:$M$141,MOD(INT(D1017)-1,Control!$B$7)+1)*IF(E1017="BOOST",Control!$B$12,1)))</x:f>
        <x:v>3.132963260764288</x:v>
      </x:c>
      <x:c r="G1017" s="83" t="n">
        <x:f>IF(A1017=0,D1017,MIN(Control!$B$17,D1017+F1017))</x:f>
        <x:v>558.677324664768</x:v>
      </x:c>
      <x:c r="H1017" s="73" t="n">
        <x:f>MOD(INT(G1017)-1,Control!$B$7)+1</x:f>
        <x:v>22</x:v>
      </x:c>
      <x:c r="I1017" s="73" t="n">
        <x:f>MIN(Control!$B$6,MAX(1,INT(MAX(0,G1017)/Control!$B$7)+1))</x:f>
        <x:v>5</x:v>
      </x:c>
      <x:c r="J1017" s="73" t="n">
        <x:f>INDEX(Drivers!$H$8:$H$13,B1017)</x:f>
        <x:v>2</x:v>
      </x:c>
      <x:c r="K1017" s="73" t="n">
        <x:f>IF(J1017=1,INDEX(TrackMap!$I$8:$I$141,H1017),INDEX(TrackMap!$L$8:$L$141,H1017))</x:f>
        <x:v>2107</x:v>
      </x:c>
      <x:c r="L1017" s="73" t="str">
        <x:f>INDEX(TrackMap!$F$8:$F$141,H1017)</x:f>
        <x:v>→</x:v>
      </x:c>
      <x:c r="M1017" s="87" t="n">
        <x:f>MAX(0,G1017/Control!$B$17)</x:f>
        <x:v>0.833846753230997</x:v>
      </x:c>
      <x:c r="N1017" s="73" t="n">
        <x:f>IF(N1011&gt;0,N1011,IF(G1017&gt;=Control!$B$17,A1017,0))</x:f>
        <x:v>0</x:v>
      </x:c>
      <x:c r="O1017" s="91" t="n">
        <x:f>IF(N1017&gt;0,Control!$B$17+Control!$B$8+1-N1017,G1017)-B1017/100000</x:f>
        <x:v>558.677304664768</x:v>
      </x:c>
      <x:c r="P1017" s="73" t="n">
        <x:f>COUNTIF($O$1016:$O$1021,"&gt;"&amp;O1017)+1</x:f>
        <x:v>6</x:v>
      </x:c>
      <x:c r="Q1017" s="83" t="n">
        <x:f>MAX($G$1016:$G$1021)-G1017</x:f>
        <x:v>20.089844207293595</x:v>
      </x:c>
      <x:c r="R1017" s="73" t="str">
        <x:f>INDEX(TrackMap!$B$8:$B$141,H1017)</x:f>
        <x:v>短直道</x:v>
      </x:c>
    </x:row>
    <x:row r="1018" ht="20" customHeight="1">
      <x:c r="A1018" s="73" t="n">
        <x:v>168</x:v>
      </x:c>
      <x:c r="B1018" s="73" t="n">
        <x:v>3</x:v>
      </x:c>
      <x:c r="C1018" s="73" t="str">
        <x:f>INDEX(Drivers!$B$8:$B$13,B1018)</x:f>
        <x:v>金翼</x:v>
      </x:c>
      <x:c r="D1018" s="83" t="n">
        <x:f>G1012</x:f>
        <x:v>573.1548132082464</x:v>
      </x:c>
      <x:c r="E1018" s="83" t="str">
        <x:f>IF(A1018=0,"GRID",IF(D1018&gt;=Control!$B$17,"FINISHED",IF(AND(A1018&gt;=INDEX(Drivers!$G$8:$G$13,B1018),A1018&lt;INDEX(Drivers!$G$8:$G$13,B1018)+INDEX(Drivers!$J$8:$J$13,B1018)),"PIT",IF(MOD(A1018+INDEX(Drivers!$F$8:$F$13,B1018),Control!$B$11)&lt;Control!$B$13,"BOOST","RACE"))))</x:f>
        <x:v>RACE</x:v>
      </x:c>
      <x:c r="F1018" s="83" t="n">
        <x:f>IF(OR(E1018="GRID",E1018="FINISHED",E1018="PIT"),0,MAX(Control!$B$15,(INDEX(Drivers!$D$8:$D$13,B1018)+INDEX(Drivers!$E$8:$E$13,B1018)*SIN((A1018+INDEX(Drivers!$F$8:$F$13,B1018)+Control!$B$16)*Control!$B$14))*INDEX(TrackMap!$M$8:$M$141,MOD(INT(D1018)-1,Control!$B$7)+1)*IF(E1018="BOOST",Control!$B$12,1)))</x:f>
        <x:v>2.784469418961444</x:v>
      </x:c>
      <x:c r="G1018" s="83" t="n">
        <x:f>IF(A1018=0,D1018,MIN(Control!$B$17,D1018+F1018))</x:f>
        <x:v>575.9392826272078</x:v>
      </x:c>
      <x:c r="H1018" s="73" t="n">
        <x:f>MOD(INT(G1018)-1,Control!$B$7)+1</x:f>
        <x:v>39</x:v>
      </x:c>
      <x:c r="I1018" s="73" t="n">
        <x:f>MIN(Control!$B$6,MAX(1,INT(MAX(0,G1018)/Control!$B$7)+1))</x:f>
        <x:v>5</x:v>
      </x:c>
      <x:c r="J1018" s="73" t="n">
        <x:f>INDEX(Drivers!$H$8:$H$13,B1018)</x:f>
        <x:v>1</x:v>
      </x:c>
      <x:c r="K1018" s="73" t="n">
        <x:f>IF(J1018=1,INDEX(TrackMap!$I$8:$I$141,H1018),INDEX(TrackMap!$L$8:$L$141,H1018))</x:f>
        <x:v>815</x:v>
      </x:c>
      <x:c r="L1018" s="73" t="str">
        <x:f>INDEX(TrackMap!$F$8:$F$141,H1018)</x:f>
        <x:v>→</x:v>
      </x:c>
      <x:c r="M1018" s="87" t="n">
        <x:f>MAX(0,G1018/Control!$B$17)</x:f>
        <x:v>0.8596108695928475</x:v>
      </x:c>
      <x:c r="N1018" s="73" t="n">
        <x:f>IF(N1012&gt;0,N1012,IF(G1018&gt;=Control!$B$17,A1018,0))</x:f>
        <x:v>0</x:v>
      </x:c>
      <x:c r="O1018" s="91" t="n">
        <x:f>IF(N1018&gt;0,Control!$B$17+Control!$B$8+1-N1018,G1018)-B1018/100000</x:f>
        <x:v>575.9392526272078</x:v>
      </x:c>
      <x:c r="P1018" s="73" t="n">
        <x:f>COUNTIF($O$1016:$O$1021,"&gt;"&amp;O1018)+1</x:f>
        <x:v>2</x:v>
      </x:c>
      <x:c r="Q1018" s="83" t="n">
        <x:f>MAX($G$1016:$G$1021)-G1018</x:f>
        <x:v>2.827886244853744</x:v>
      </x:c>
      <x:c r="R1018" s="73" t="str">
        <x:f>INDEX(TrackMap!$B$8:$B$141,H1018)</x:f>
        <x:v>西侧发卡弯</x:v>
      </x:c>
    </x:row>
    <x:row r="1019" ht="20" customHeight="1">
      <x:c r="A1019" s="73" t="n">
        <x:v>168</x:v>
      </x:c>
      <x:c r="B1019" s="73" t="n">
        <x:v>4</x:v>
      </x:c>
      <x:c r="C1019" s="73" t="str">
        <x:f>INDEX(Drivers!$B$8:$B$13,B1019)</x:f>
        <x:v>紫影</x:v>
      </x:c>
      <x:c r="D1019" s="83" t="n">
        <x:f>G1013</x:f>
        <x:v>562.0674200903853</x:v>
      </x:c>
      <x:c r="E1019" s="83" t="str">
        <x:f>IF(A1019=0,"GRID",IF(D1019&gt;=Control!$B$17,"FINISHED",IF(AND(A1019&gt;=INDEX(Drivers!$G$8:$G$13,B1019),A1019&lt;INDEX(Drivers!$G$8:$G$13,B1019)+INDEX(Drivers!$J$8:$J$13,B1019)),"PIT",IF(MOD(A1019+INDEX(Drivers!$F$8:$F$13,B1019),Control!$B$11)&lt;Control!$B$13,"BOOST","RACE"))))</x:f>
        <x:v>RACE</x:v>
      </x:c>
      <x:c r="F1019" s="83" t="n">
        <x:f>IF(OR(E1019="GRID",E1019="FINISHED",E1019="PIT"),0,MAX(Control!$B$15,(INDEX(Drivers!$D$8:$D$13,B1019)+INDEX(Drivers!$E$8:$E$13,B1019)*SIN((A1019+INDEX(Drivers!$F$8:$F$13,B1019)+Control!$B$16)*Control!$B$14))*INDEX(TrackMap!$M$8:$M$141,MOD(INT(D1019)-1,Control!$B$7)+1)*IF(E1019="BOOST",Control!$B$12,1)))</x:f>
        <x:v>2.679405466028116</x:v>
      </x:c>
      <x:c r="G1019" s="83" t="n">
        <x:f>IF(A1019=0,D1019,MIN(Control!$B$17,D1019+F1019))</x:f>
        <x:v>564.7468255564135</x:v>
      </x:c>
      <x:c r="H1019" s="73" t="n">
        <x:f>MOD(INT(G1019)-1,Control!$B$7)+1</x:f>
        <x:v>28</x:v>
      </x:c>
      <x:c r="I1019" s="73" t="n">
        <x:f>MIN(Control!$B$6,MAX(1,INT(MAX(0,G1019)/Control!$B$7)+1))</x:f>
        <x:v>5</x:v>
      </x:c>
      <x:c r="J1019" s="73" t="n">
        <x:f>INDEX(Drivers!$H$8:$H$13,B1019)</x:f>
        <x:v>2</x:v>
      </x:c>
      <x:c r="K1019" s="73" t="n">
        <x:f>IF(J1019=1,INDEX(TrackMap!$I$8:$I$141,H1019),INDEX(TrackMap!$L$8:$L$141,H1019))</x:f>
        <x:v>1711</x:v>
      </x:c>
      <x:c r="L1019" s="73" t="str">
        <x:f>INDEX(TrackMap!$F$8:$F$141,H1019)</x:f>
        <x:v>↑</x:v>
      </x:c>
      <x:c r="M1019" s="87" t="n">
        <x:f>MAX(0,G1019/Control!$B$17)</x:f>
        <x:v>0.8429057097856917</x:v>
      </x:c>
      <x:c r="N1019" s="73" t="n">
        <x:f>IF(N1013&gt;0,N1013,IF(G1019&gt;=Control!$B$17,A1019,0))</x:f>
        <x:v>0</x:v>
      </x:c>
      <x:c r="O1019" s="91" t="n">
        <x:f>IF(N1019&gt;0,Control!$B$17+Control!$B$8+1-N1019,G1019)-B1019/100000</x:f>
        <x:v>564.7467855564134</x:v>
      </x:c>
      <x:c r="P1019" s="73" t="n">
        <x:f>COUNTIF($O$1016:$O$1021,"&gt;"&amp;O1019)+1</x:f>
        <x:v>5</x:v>
      </x:c>
      <x:c r="Q1019" s="83" t="n">
        <x:f>MAX($G$1016:$G$1021)-G1019</x:f>
        <x:v>14.02034331564812</x:v>
      </x:c>
      <x:c r="R1019" s="73" t="str">
        <x:f>INDEX(TrackMap!$B$8:$B$141,H1019)</x:f>
        <x:v>西侧上坡弯</x:v>
      </x:c>
    </x:row>
    <x:row r="1020" ht="20" customHeight="1">
      <x:c r="A1020" s="73" t="n">
        <x:v>168</x:v>
      </x:c>
      <x:c r="B1020" s="73" t="n">
        <x:v>5</x:v>
      </x:c>
      <x:c r="C1020" s="73" t="str">
        <x:f>INDEX(Drivers!$B$8:$B$13,B1020)</x:f>
        <x:v>青锋</x:v>
      </x:c>
      <x:c r="D1020" s="83" t="n">
        <x:f>G1014</x:f>
        <x:v>568.302551232794</x:v>
      </x:c>
      <x:c r="E1020" s="83" t="str">
        <x:f>IF(A1020=0,"GRID",IF(D1020&gt;=Control!$B$17,"FINISHED",IF(AND(A1020&gt;=INDEX(Drivers!$G$8:$G$13,B1020),A1020&lt;INDEX(Drivers!$G$8:$G$13,B1020)+INDEX(Drivers!$J$8:$J$13,B1020)),"PIT",IF(MOD(A1020+INDEX(Drivers!$F$8:$F$13,B1020),Control!$B$11)&lt;Control!$B$13,"BOOST","RACE"))))</x:f>
        <x:v>RACE</x:v>
      </x:c>
      <x:c r="F1020" s="83" t="n">
        <x:f>IF(OR(E1020="GRID",E1020="FINISHED",E1020="PIT"),0,MAX(Control!$B$15,(INDEX(Drivers!$D$8:$D$13,B1020)+INDEX(Drivers!$E$8:$E$13,B1020)*SIN((A1020+INDEX(Drivers!$F$8:$F$13,B1020)+Control!$B$16)*Control!$B$14))*INDEX(TrackMap!$M$8:$M$141,MOD(INT(D1020)-1,Control!$B$7)+1)*IF(E1020="BOOST",Control!$B$12,1)))</x:f>
        <x:v>3.4787961830823657</x:v>
      </x:c>
      <x:c r="G1020" s="83" t="n">
        <x:f>IF(A1020=0,D1020,MIN(Control!$B$17,D1020+F1020))</x:f>
        <x:v>571.7813474158764</x:v>
      </x:c>
      <x:c r="H1020" s="73" t="n">
        <x:f>MOD(INT(G1020)-1,Control!$B$7)+1</x:f>
        <x:v>35</x:v>
      </x:c>
      <x:c r="I1020" s="73" t="n">
        <x:f>MIN(Control!$B$6,MAX(1,INT(MAX(0,G1020)/Control!$B$7)+1))</x:f>
        <x:v>5</x:v>
      </x:c>
      <x:c r="J1020" s="73" t="n">
        <x:f>INDEX(Drivers!$H$8:$H$13,B1020)</x:f>
        <x:v>1</x:v>
      </x:c>
      <x:c r="K1020" s="73" t="n">
        <x:f>IF(J1020=1,INDEX(TrackMap!$I$8:$I$141,H1020),INDEX(TrackMap!$L$8:$L$141,H1020))</x:f>
        <x:v>1010</x:v>
      </x:c>
      <x:c r="L1020" s="73" t="str">
        <x:f>INDEX(TrackMap!$F$8:$F$141,H1020)</x:f>
        <x:v>↑</x:v>
      </x:c>
      <x:c r="M1020" s="87" t="n">
        <x:f>MAX(0,G1020/Control!$B$17)</x:f>
        <x:v>0.8534049961430992</x:v>
      </x:c>
      <x:c r="N1020" s="73" t="n">
        <x:f>IF(N1014&gt;0,N1014,IF(G1020&gt;=Control!$B$17,A1020,0))</x:f>
        <x:v>0</x:v>
      </x:c>
      <x:c r="O1020" s="91" t="n">
        <x:f>IF(N1020&gt;0,Control!$B$17+Control!$B$8+1-N1020,G1020)-B1020/100000</x:f>
        <x:v>571.7812974158765</x:v>
      </x:c>
      <x:c r="P1020" s="73" t="n">
        <x:f>COUNTIF($O$1016:$O$1021,"&gt;"&amp;O1020)+1</x:f>
        <x:v>4</x:v>
      </x:c>
      <x:c r="Q1020" s="83" t="n">
        <x:f>MAX($G$1016:$G$1021)-G1020</x:f>
        <x:v>6.9858214561851355</x:v>
      </x:c>
      <x:c r="R1020" s="73" t="str">
        <x:f>INDEX(TrackMap!$B$8:$B$141,H1020)</x:f>
        <x:v>西侧上坡弯</x:v>
      </x:c>
    </x:row>
    <x:row r="1021" ht="20" customHeight="1">
      <x:c r="A1021" s="73" t="n">
        <x:v>168</x:v>
      </x:c>
      <x:c r="B1021" s="73" t="n">
        <x:v>6</x:v>
      </x:c>
      <x:c r="C1021" s="73" t="str">
        <x:f>INDEX(Drivers!$B$8:$B$13,B1021)</x:f>
        <x:v>玫速</x:v>
      </x:c>
      <x:c r="D1021" s="83" t="n">
        <x:f>G1015</x:f>
        <x:v>568.4285181409508</x:v>
      </x:c>
      <x:c r="E1021" s="83" t="str">
        <x:f>IF(A1021=0,"GRID",IF(D1021&gt;=Control!$B$17,"FINISHED",IF(AND(A1021&gt;=INDEX(Drivers!$G$8:$G$13,B1021),A1021&lt;INDEX(Drivers!$G$8:$G$13,B1021)+INDEX(Drivers!$J$8:$J$13,B1021)),"PIT",IF(MOD(A1021+INDEX(Drivers!$F$8:$F$13,B1021),Control!$B$11)&lt;Control!$B$13,"BOOST","RACE"))))</x:f>
        <x:v>RACE</x:v>
      </x:c>
      <x:c r="F1021" s="83" t="n">
        <x:f>IF(OR(E1021="GRID",E1021="FINISHED",E1021="PIT"),0,MAX(Control!$B$15,(INDEX(Drivers!$D$8:$D$13,B1021)+INDEX(Drivers!$E$8:$E$13,B1021)*SIN((A1021+INDEX(Drivers!$F$8:$F$13,B1021)+Control!$B$16)*Control!$B$14))*INDEX(TrackMap!$M$8:$M$141,MOD(INT(D1021)-1,Control!$B$7)+1)*IF(E1021="BOOST",Control!$B$12,1)))</x:f>
        <x:v>4.129431610478015</x:v>
      </x:c>
      <x:c r="G1021" s="83" t="n">
        <x:f>IF(A1021=0,D1021,MIN(Control!$B$17,D1021+F1021))</x:f>
        <x:v>572.5579497514289</x:v>
      </x:c>
      <x:c r="H1021" s="73" t="n">
        <x:f>MOD(INT(G1021)-1,Control!$B$7)+1</x:f>
        <x:v>36</x:v>
      </x:c>
      <x:c r="I1021" s="73" t="n">
        <x:f>MIN(Control!$B$6,MAX(1,INT(MAX(0,G1021)/Control!$B$7)+1))</x:f>
        <x:v>5</x:v>
      </x:c>
      <x:c r="J1021" s="73" t="n">
        <x:f>INDEX(Drivers!$H$8:$H$13,B1021)</x:f>
        <x:v>2</x:v>
      </x:c>
      <x:c r="K1021" s="73" t="n">
        <x:f>IF(J1021=1,INDEX(TrackMap!$I$8:$I$141,H1021),INDEX(TrackMap!$L$8:$L$141,H1021))</x:f>
        <x:v>912</x:v>
      </x:c>
      <x:c r="L1021" s="73" t="str">
        <x:f>INDEX(TrackMap!$F$8:$F$141,H1021)</x:f>
        <x:v>→</x:v>
      </x:c>
      <x:c r="M1021" s="87" t="n">
        <x:f>MAX(0,G1021/Control!$B$17)</x:f>
        <x:v>0.8545641041066102</x:v>
      </x:c>
      <x:c r="N1021" s="73" t="n">
        <x:f>IF(N1015&gt;0,N1015,IF(G1021&gt;=Control!$B$17,A1021,0))</x:f>
        <x:v>0</x:v>
      </x:c>
      <x:c r="O1021" s="91" t="n">
        <x:f>IF(N1021&gt;0,Control!$B$17+Control!$B$8+1-N1021,G1021)-B1021/100000</x:f>
        <x:v>572.5578897514289</x:v>
      </x:c>
      <x:c r="P1021" s="73" t="n">
        <x:f>COUNTIF($O$1016:$O$1021,"&gt;"&amp;O1021)+1</x:f>
        <x:v>3</x:v>
      </x:c>
      <x:c r="Q1021" s="83" t="n">
        <x:f>MAX($G$1016:$G$1021)-G1021</x:f>
        <x:v>6.209219120632724</x:v>
      </x:c>
      <x:c r="R1021" s="73" t="str">
        <x:f>INDEX(TrackMap!$B$8:$B$141,H1021)</x:f>
        <x:v>西侧发卡弯</x:v>
      </x:c>
    </x:row>
    <x:row r="1022" ht="20" customHeight="1">
      <x:c r="A1022" s="73" t="n">
        <x:v>169</x:v>
      </x:c>
      <x:c r="B1022" s="73" t="n">
        <x:v>1</x:v>
      </x:c>
      <x:c r="C1022" s="73" t="str">
        <x:f>INDEX(Drivers!$B$8:$B$13,B1022)</x:f>
        <x:v>赤焰</x:v>
      </x:c>
      <x:c r="D1022" s="83" t="n">
        <x:f>G1016</x:f>
        <x:v>578.7671688720616</x:v>
      </x:c>
      <x:c r="E1022" s="83" t="str">
        <x:f>IF(A1022=0,"GRID",IF(D1022&gt;=Control!$B$17,"FINISHED",IF(AND(A1022&gt;=INDEX(Drivers!$G$8:$G$13,B1022),A1022&lt;INDEX(Drivers!$G$8:$G$13,B1022)+INDEX(Drivers!$J$8:$J$13,B1022)),"PIT",IF(MOD(A1022+INDEX(Drivers!$F$8:$F$13,B1022),Control!$B$11)&lt;Control!$B$13,"BOOST","RACE"))))</x:f>
        <x:v>RACE</x:v>
      </x:c>
      <x:c r="F1022" s="83" t="n">
        <x:f>IF(OR(E1022="GRID",E1022="FINISHED",E1022="PIT"),0,MAX(Control!$B$15,(INDEX(Drivers!$D$8:$D$13,B1022)+INDEX(Drivers!$E$8:$E$13,B1022)*SIN((A1022+INDEX(Drivers!$F$8:$F$13,B1022)+Control!$B$16)*Control!$B$14))*INDEX(TrackMap!$M$8:$M$141,MOD(INT(D1022)-1,Control!$B$7)+1)*IF(E1022="BOOST",Control!$B$12,1)))</x:f>
        <x:v>2.4238800553293145</x:v>
      </x:c>
      <x:c r="G1022" s="83" t="n">
        <x:f>IF(A1022=0,D1022,MIN(Control!$B$17,D1022+F1022))</x:f>
        <x:v>581.1910489273909</x:v>
      </x:c>
      <x:c r="H1022" s="73" t="n">
        <x:f>MOD(INT(G1022)-1,Control!$B$7)+1</x:f>
        <x:v>45</x:v>
      </x:c>
      <x:c r="I1022" s="73" t="n">
        <x:f>MIN(Control!$B$6,MAX(1,INT(MAX(0,G1022)/Control!$B$7)+1))</x:f>
        <x:v>5</x:v>
      </x:c>
      <x:c r="J1022" s="73" t="n">
        <x:f>INDEX(Drivers!$H$8:$H$13,B1022)</x:f>
        <x:v>1</x:v>
      </x:c>
      <x:c r="K1022" s="73" t="n">
        <x:f>IF(J1022=1,INDEX(TrackMap!$I$8:$I$141,H1022),INDEX(TrackMap!$L$8:$L$141,H1022))</x:f>
        <x:v>1219</x:v>
      </x:c>
      <x:c r="L1022" s="73" t="str">
        <x:f>INDEX(TrackMap!$F$8:$F$141,H1022)</x:f>
        <x:v>↓</x:v>
      </x:c>
      <x:c r="M1022" s="87" t="n">
        <x:f>MAX(0,G1022/Control!$B$17)</x:f>
        <x:v>0.8674493267572998</x:v>
      </x:c>
      <x:c r="N1022" s="73" t="n">
        <x:f>IF(N1016&gt;0,N1016,IF(G1022&gt;=Control!$B$17,A1022,0))</x:f>
        <x:v>0</x:v>
      </x:c>
      <x:c r="O1022" s="91" t="n">
        <x:f>IF(N1022&gt;0,Control!$B$17+Control!$B$8+1-N1022,G1022)-B1022/100000</x:f>
        <x:v>581.1910389273909</x:v>
      </x:c>
      <x:c r="P1022" s="73" t="n">
        <x:f>COUNTIF($O$1022:$O$1027,"&gt;"&amp;O1022)+1</x:f>
        <x:v>1</x:v>
      </x:c>
      <x:c r="Q1022" s="83" t="n">
        <x:f>MAX($G$1022:$G$1027)-G1022</x:f>
        <x:v>0</x:v>
      </x:c>
      <x:c r="R1022" s="73" t="str">
        <x:f>INDEX(TrackMap!$B$8:$B$141,H1022)</x:f>
        <x:v>中段下行弯</x:v>
      </x:c>
    </x:row>
    <x:row r="1023" ht="20" customHeight="1">
      <x:c r="A1023" s="73" t="n">
        <x:v>169</x:v>
      </x:c>
      <x:c r="B1023" s="73" t="n">
        <x:v>2</x:v>
      </x:c>
      <x:c r="C1023" s="73" t="str">
        <x:f>INDEX(Drivers!$B$8:$B$13,B1023)</x:f>
        <x:v>蓝电</x:v>
      </x:c>
      <x:c r="D1023" s="83" t="n">
        <x:f>G1017</x:f>
        <x:v>558.677324664768</x:v>
      </x:c>
      <x:c r="E1023" s="83" t="str">
        <x:f>IF(A1023=0,"GRID",IF(D1023&gt;=Control!$B$17,"FINISHED",IF(AND(A1023&gt;=INDEX(Drivers!$G$8:$G$13,B1023),A1023&lt;INDEX(Drivers!$G$8:$G$13,B1023)+INDEX(Drivers!$J$8:$J$13,B1023)),"PIT",IF(MOD(A1023+INDEX(Drivers!$F$8:$F$13,B1023),Control!$B$11)&lt;Control!$B$13,"BOOST","RACE"))))</x:f>
        <x:v>RACE</x:v>
      </x:c>
      <x:c r="F1023" s="83" t="n">
        <x:f>IF(OR(E1023="GRID",E1023="FINISHED",E1023="PIT"),0,MAX(Control!$B$15,(INDEX(Drivers!$D$8:$D$13,B1023)+INDEX(Drivers!$E$8:$E$13,B1023)*SIN((A1023+INDEX(Drivers!$F$8:$F$13,B1023)+Control!$B$16)*Control!$B$14))*INDEX(TrackMap!$M$8:$M$141,MOD(INT(D1023)-1,Control!$B$7)+1)*IF(E1023="BOOST",Control!$B$12,1)))</x:f>
        <x:v>4.135890777079116</x:v>
      </x:c>
      <x:c r="G1023" s="83" t="n">
        <x:f>IF(A1023=0,D1023,MIN(Control!$B$17,D1023+F1023))</x:f>
        <x:v>562.8132154418471</x:v>
      </x:c>
      <x:c r="H1023" s="73" t="n">
        <x:f>MOD(INT(G1023)-1,Control!$B$7)+1</x:f>
        <x:v>26</x:v>
      </x:c>
      <x:c r="I1023" s="73" t="n">
        <x:f>MIN(Control!$B$6,MAX(1,INT(MAX(0,G1023)/Control!$B$7)+1))</x:f>
        <x:v>5</x:v>
      </x:c>
      <x:c r="J1023" s="73" t="n">
        <x:f>INDEX(Drivers!$H$8:$H$13,B1023)</x:f>
        <x:v>2</x:v>
      </x:c>
      <x:c r="K1023" s="73" t="n">
        <x:f>IF(J1023=1,INDEX(TrackMap!$I$8:$I$141,H1023),INDEX(TrackMap!$L$8:$L$141,H1023))</x:f>
        <x:v>1911</x:v>
      </x:c>
      <x:c r="L1023" s="73" t="str">
        <x:f>INDEX(TrackMap!$F$8:$F$141,H1023)</x:f>
        <x:v>↑</x:v>
      </x:c>
      <x:c r="M1023" s="87" t="n">
        <x:f>MAX(0,G1023/Control!$B$17)</x:f>
        <x:v>0.8400197245400702</x:v>
      </x:c>
      <x:c r="N1023" s="73" t="n">
        <x:f>IF(N1017&gt;0,N1017,IF(G1023&gt;=Control!$B$17,A1023,0))</x:f>
        <x:v>0</x:v>
      </x:c>
      <x:c r="O1023" s="91" t="n">
        <x:f>IF(N1023&gt;0,Control!$B$17+Control!$B$8+1-N1023,G1023)-B1023/100000</x:f>
        <x:v>562.8131954418471</x:v>
      </x:c>
      <x:c r="P1023" s="73" t="n">
        <x:f>COUNTIF($O$1022:$O$1027,"&gt;"&amp;O1023)+1</x:f>
        <x:v>6</x:v>
      </x:c>
      <x:c r="Q1023" s="83" t="n">
        <x:f>MAX($G$1022:$G$1027)-G1023</x:f>
        <x:v>18.37783348554376</x:v>
      </x:c>
      <x:c r="R1023" s="73" t="str">
        <x:f>INDEX(TrackMap!$B$8:$B$141,H1023)</x:f>
        <x:v>西侧上坡弯</x:v>
      </x:c>
    </x:row>
    <x:row r="1024" ht="20" customHeight="1">
      <x:c r="A1024" s="73" t="n">
        <x:v>169</x:v>
      </x:c>
      <x:c r="B1024" s="73" t="n">
        <x:v>3</x:v>
      </x:c>
      <x:c r="C1024" s="73" t="str">
        <x:f>INDEX(Drivers!$B$8:$B$13,B1024)</x:f>
        <x:v>金翼</x:v>
      </x:c>
      <x:c r="D1024" s="83" t="n">
        <x:f>G1018</x:f>
        <x:v>575.9392826272078</x:v>
      </x:c>
      <x:c r="E1024" s="83" t="str">
        <x:f>IF(A1024=0,"GRID",IF(D1024&gt;=Control!$B$17,"FINISHED",IF(AND(A1024&gt;=INDEX(Drivers!$G$8:$G$13,B1024),A1024&lt;INDEX(Drivers!$G$8:$G$13,B1024)+INDEX(Drivers!$J$8:$J$13,B1024)),"PIT",IF(MOD(A1024+INDEX(Drivers!$F$8:$F$13,B1024),Control!$B$11)&lt;Control!$B$13,"BOOST","RACE"))))</x:f>
        <x:v>BOOST</x:v>
      </x:c>
      <x:c r="F1024" s="83" t="n">
        <x:f>IF(OR(E1024="GRID",E1024="FINISHED",E1024="PIT"),0,MAX(Control!$B$15,(INDEX(Drivers!$D$8:$D$13,B1024)+INDEX(Drivers!$E$8:$E$13,B1024)*SIN((A1024+INDEX(Drivers!$F$8:$F$13,B1024)+Control!$B$16)*Control!$B$14))*INDEX(TrackMap!$M$8:$M$141,MOD(INT(D1024)-1,Control!$B$7)+1)*IF(E1024="BOOST",Control!$B$12,1)))</x:f>
        <x:v>3.5844837999746044</x:v>
      </x:c>
      <x:c r="G1024" s="83" t="n">
        <x:f>IF(A1024=0,D1024,MIN(Control!$B$17,D1024+F1024))</x:f>
        <x:v>579.5237664271824</x:v>
      </x:c>
      <x:c r="H1024" s="73" t="n">
        <x:f>MOD(INT(G1024)-1,Control!$B$7)+1</x:f>
        <x:v>43</x:v>
      </x:c>
      <x:c r="I1024" s="73" t="n">
        <x:f>MIN(Control!$B$6,MAX(1,INT(MAX(0,G1024)/Control!$B$7)+1))</x:f>
        <x:v>5</x:v>
      </x:c>
      <x:c r="J1024" s="73" t="n">
        <x:f>INDEX(Drivers!$H$8:$H$13,B1024)</x:f>
        <x:v>1</x:v>
      </x:c>
      <x:c r="K1024" s="73" t="n">
        <x:f>IF(J1024=1,INDEX(TrackMap!$I$8:$I$141,H1024),INDEX(TrackMap!$L$8:$L$141,H1024))</x:f>
        <x:v>1020</x:v>
      </x:c>
      <x:c r="L1024" s="73" t="str">
        <x:f>INDEX(TrackMap!$F$8:$F$141,H1024)</x:f>
        <x:v>↓</x:v>
      </x:c>
      <x:c r="M1024" s="87" t="n">
        <x:f>MAX(0,G1024/Control!$B$17)</x:f>
        <x:v>0.8649608454137051</x:v>
      </x:c>
      <x:c r="N1024" s="73" t="n">
        <x:f>IF(N1018&gt;0,N1018,IF(G1024&gt;=Control!$B$17,A1024,0))</x:f>
        <x:v>0</x:v>
      </x:c>
      <x:c r="O1024" s="91" t="n">
        <x:f>IF(N1024&gt;0,Control!$B$17+Control!$B$8+1-N1024,G1024)-B1024/100000</x:f>
        <x:v>579.5237364271824</x:v>
      </x:c>
      <x:c r="P1024" s="73" t="n">
        <x:f>COUNTIF($O$1022:$O$1027,"&gt;"&amp;O1024)+1</x:f>
        <x:v>2</x:v>
      </x:c>
      <x:c r="Q1024" s="83" t="n">
        <x:f>MAX($G$1022:$G$1027)-G1024</x:f>
        <x:v>1.6672825002084437</x:v>
      </x:c>
      <x:c r="R1024" s="73" t="str">
        <x:f>INDEX(TrackMap!$B$8:$B$141,H1024)</x:f>
        <x:v>西侧发卡弯</x:v>
      </x:c>
    </x:row>
    <x:row r="1025" ht="20" customHeight="1">
      <x:c r="A1025" s="73" t="n">
        <x:v>169</x:v>
      </x:c>
      <x:c r="B1025" s="73" t="n">
        <x:v>4</x:v>
      </x:c>
      <x:c r="C1025" s="73" t="str">
        <x:f>INDEX(Drivers!$B$8:$B$13,B1025)</x:f>
        <x:v>紫影</x:v>
      </x:c>
      <x:c r="D1025" s="83" t="n">
        <x:f>G1019</x:f>
        <x:v>564.7468255564135</x:v>
      </x:c>
      <x:c r="E1025" s="83" t="str">
        <x:f>IF(A1025=0,"GRID",IF(D1025&gt;=Control!$B$17,"FINISHED",IF(AND(A1025&gt;=INDEX(Drivers!$G$8:$G$13,B1025),A1025&lt;INDEX(Drivers!$G$8:$G$13,B1025)+INDEX(Drivers!$J$8:$J$13,B1025)),"PIT",IF(MOD(A1025+INDEX(Drivers!$F$8:$F$13,B1025),Control!$B$11)&lt;Control!$B$13,"BOOST","RACE"))))</x:f>
        <x:v>RACE</x:v>
      </x:c>
      <x:c r="F1025" s="83" t="n">
        <x:f>IF(OR(E1025="GRID",E1025="FINISHED",E1025="PIT"),0,MAX(Control!$B$15,(INDEX(Drivers!$D$8:$D$13,B1025)+INDEX(Drivers!$E$8:$E$13,B1025)*SIN((A1025+INDEX(Drivers!$F$8:$F$13,B1025)+Control!$B$16)*Control!$B$14))*INDEX(TrackMap!$M$8:$M$141,MOD(INT(D1025)-1,Control!$B$7)+1)*IF(E1025="BOOST",Control!$B$12,1)))</x:f>
        <x:v>3.647377415786909</x:v>
      </x:c>
      <x:c r="G1025" s="83" t="n">
        <x:f>IF(A1025=0,D1025,MIN(Control!$B$17,D1025+F1025))</x:f>
        <x:v>568.3942029722003</x:v>
      </x:c>
      <x:c r="H1025" s="73" t="n">
        <x:f>MOD(INT(G1025)-1,Control!$B$7)+1</x:f>
        <x:v>32</x:v>
      </x:c>
      <x:c r="I1025" s="73" t="n">
        <x:f>MIN(Control!$B$6,MAX(1,INT(MAX(0,G1025)/Control!$B$7)+1))</x:f>
        <x:v>5</x:v>
      </x:c>
      <x:c r="J1025" s="73" t="n">
        <x:f>INDEX(Drivers!$H$8:$H$13,B1025)</x:f>
        <x:v>2</x:v>
      </x:c>
      <x:c r="K1025" s="73" t="n">
        <x:f>IF(J1025=1,INDEX(TrackMap!$I$8:$I$141,H1025),INDEX(TrackMap!$L$8:$L$141,H1025))</x:f>
        <x:v>1311</x:v>
      </x:c>
      <x:c r="L1025" s="73" t="str">
        <x:f>INDEX(TrackMap!$F$8:$F$141,H1025)</x:f>
        <x:v>↑</x:v>
      </x:c>
      <x:c r="M1025" s="87" t="n">
        <x:f>MAX(0,G1025/Control!$B$17)</x:f>
        <x:v>0.8483495566749258</x:v>
      </x:c>
      <x:c r="N1025" s="73" t="n">
        <x:f>IF(N1019&gt;0,N1019,IF(G1025&gt;=Control!$B$17,A1025,0))</x:f>
        <x:v>0</x:v>
      </x:c>
      <x:c r="O1025" s="91" t="n">
        <x:f>IF(N1025&gt;0,Control!$B$17+Control!$B$8+1-N1025,G1025)-B1025/100000</x:f>
        <x:v>568.3941629722003</x:v>
      </x:c>
      <x:c r="P1025" s="73" t="n">
        <x:f>COUNTIF($O$1022:$O$1027,"&gt;"&amp;O1025)+1</x:f>
        <x:v>5</x:v>
      </x:c>
      <x:c r="Q1025" s="83" t="n">
        <x:f>MAX($G$1022:$G$1027)-G1025</x:f>
        <x:v>12.79684595519052</x:v>
      </x:c>
      <x:c r="R1025" s="73" t="str">
        <x:f>INDEX(TrackMap!$B$8:$B$141,H1025)</x:f>
        <x:v>西侧上坡弯</x:v>
      </x:c>
    </x:row>
    <x:row r="1026" ht="20" customHeight="1">
      <x:c r="A1026" s="73" t="n">
        <x:v>169</x:v>
      </x:c>
      <x:c r="B1026" s="73" t="n">
        <x:v>5</x:v>
      </x:c>
      <x:c r="C1026" s="73" t="str">
        <x:f>INDEX(Drivers!$B$8:$B$13,B1026)</x:f>
        <x:v>青锋</x:v>
      </x:c>
      <x:c r="D1026" s="83" t="n">
        <x:f>G1020</x:f>
        <x:v>571.7813474158764</x:v>
      </x:c>
      <x:c r="E1026" s="83" t="str">
        <x:f>IF(A1026=0,"GRID",IF(D1026&gt;=Control!$B$17,"FINISHED",IF(AND(A1026&gt;=INDEX(Drivers!$G$8:$G$13,B1026),A1026&lt;INDEX(Drivers!$G$8:$G$13,B1026)+INDEX(Drivers!$J$8:$J$13,B1026)),"PIT",IF(MOD(A1026+INDEX(Drivers!$F$8:$F$13,B1026),Control!$B$11)&lt;Control!$B$13,"BOOST","RACE"))))</x:f>
        <x:v>RACE</x:v>
      </x:c>
      <x:c r="F1026" s="83" t="n">
        <x:f>IF(OR(E1026="GRID",E1026="FINISHED",E1026="PIT"),0,MAX(Control!$B$15,(INDEX(Drivers!$D$8:$D$13,B1026)+INDEX(Drivers!$E$8:$E$13,B1026)*SIN((A1026+INDEX(Drivers!$F$8:$F$13,B1026)+Control!$B$16)*Control!$B$14))*INDEX(TrackMap!$M$8:$M$141,MOD(INT(D1026)-1,Control!$B$7)+1)*IF(E1026="BOOST",Control!$B$12,1)))</x:f>
        <x:v>2.8617759664952995</x:v>
      </x:c>
      <x:c r="G1026" s="83" t="n">
        <x:f>IF(A1026=0,D1026,MIN(Control!$B$17,D1026+F1026))</x:f>
        <x:v>574.6431233823718</x:v>
      </x:c>
      <x:c r="H1026" s="73" t="n">
        <x:f>MOD(INT(G1026)-1,Control!$B$7)+1</x:f>
        <x:v>38</x:v>
      </x:c>
      <x:c r="I1026" s="73" t="n">
        <x:f>MIN(Control!$B$6,MAX(1,INT(MAX(0,G1026)/Control!$B$7)+1))</x:f>
        <x:v>5</x:v>
      </x:c>
      <x:c r="J1026" s="73" t="n">
        <x:f>INDEX(Drivers!$H$8:$H$13,B1026)</x:f>
        <x:v>1</x:v>
      </x:c>
      <x:c r="K1026" s="73" t="n">
        <x:f>IF(J1026=1,INDEX(TrackMap!$I$8:$I$141,H1026),INDEX(TrackMap!$L$8:$L$141,H1026))</x:f>
        <x:v>814</x:v>
      </x:c>
      <x:c r="L1026" s="73" t="str">
        <x:f>INDEX(TrackMap!$F$8:$F$141,H1026)</x:f>
        <x:v>→</x:v>
      </x:c>
      <x:c r="M1026" s="87" t="n">
        <x:f>MAX(0,G1026/Control!$B$17)</x:f>
        <x:v>0.8576763035557787</x:v>
      </x:c>
      <x:c r="N1026" s="73" t="n">
        <x:f>IF(N1020&gt;0,N1020,IF(G1026&gt;=Control!$B$17,A1026,0))</x:f>
        <x:v>0</x:v>
      </x:c>
      <x:c r="O1026" s="91" t="n">
        <x:f>IF(N1026&gt;0,Control!$B$17+Control!$B$8+1-N1026,G1026)-B1026/100000</x:f>
        <x:v>574.6430733823718</x:v>
      </x:c>
      <x:c r="P1026" s="73" t="n">
        <x:f>COUNTIF($O$1022:$O$1027,"&gt;"&amp;O1026)+1</x:f>
        <x:v>4</x:v>
      </x:c>
      <x:c r="Q1026" s="83" t="n">
        <x:f>MAX($G$1022:$G$1027)-G1026</x:f>
        <x:v>6.547925545019098</x:v>
      </x:c>
      <x:c r="R1026" s="73" t="str">
        <x:f>INDEX(TrackMap!$B$8:$B$141,H1026)</x:f>
        <x:v>西侧发卡弯</x:v>
      </x:c>
    </x:row>
    <x:row r="1027" ht="20" customHeight="1">
      <x:c r="A1027" s="73" t="n">
        <x:v>169</x:v>
      </x:c>
      <x:c r="B1027" s="73" t="n">
        <x:v>6</x:v>
      </x:c>
      <x:c r="C1027" s="73" t="str">
        <x:f>INDEX(Drivers!$B$8:$B$13,B1027)</x:f>
        <x:v>玫速</x:v>
      </x:c>
      <x:c r="D1027" s="83" t="n">
        <x:f>G1021</x:f>
        <x:v>572.5579497514289</x:v>
      </x:c>
      <x:c r="E1027" s="83" t="str">
        <x:f>IF(A1027=0,"GRID",IF(D1027&gt;=Control!$B$17,"FINISHED",IF(AND(A1027&gt;=INDEX(Drivers!$G$8:$G$13,B1027),A1027&lt;INDEX(Drivers!$G$8:$G$13,B1027)+INDEX(Drivers!$J$8:$J$13,B1027)),"PIT",IF(MOD(A1027+INDEX(Drivers!$F$8:$F$13,B1027),Control!$B$11)&lt;Control!$B$13,"BOOST","RACE"))))</x:f>
        <x:v>RACE</x:v>
      </x:c>
      <x:c r="F1027" s="83" t="n">
        <x:f>IF(OR(E1027="GRID",E1027="FINISHED",E1027="PIT"),0,MAX(Control!$B$15,(INDEX(Drivers!$D$8:$D$13,B1027)+INDEX(Drivers!$E$8:$E$13,B1027)*SIN((A1027+INDEX(Drivers!$F$8:$F$13,B1027)+Control!$B$16)*Control!$B$14))*INDEX(TrackMap!$M$8:$M$141,MOD(INT(D1027)-1,Control!$B$7)+1)*IF(E1027="BOOST",Control!$B$12,1)))</x:f>
        <x:v>3.0851129260865533</x:v>
      </x:c>
      <x:c r="G1027" s="83" t="n">
        <x:f>IF(A1027=0,D1027,MIN(Control!$B$17,D1027+F1027))</x:f>
        <x:v>575.6430626775154</x:v>
      </x:c>
      <x:c r="H1027" s="73" t="n">
        <x:f>MOD(INT(G1027)-1,Control!$B$7)+1</x:f>
        <x:v>39</x:v>
      </x:c>
      <x:c r="I1027" s="73" t="n">
        <x:f>MIN(Control!$B$6,MAX(1,INT(MAX(0,G1027)/Control!$B$7)+1))</x:f>
        <x:v>5</x:v>
      </x:c>
      <x:c r="J1027" s="73" t="n">
        <x:f>INDEX(Drivers!$H$8:$H$13,B1027)</x:f>
        <x:v>2</x:v>
      </x:c>
      <x:c r="K1027" s="73" t="n">
        <x:f>IF(J1027=1,INDEX(TrackMap!$I$8:$I$141,H1027),INDEX(TrackMap!$L$8:$L$141,H1027))</x:f>
        <x:v>915</x:v>
      </x:c>
      <x:c r="L1027" s="73" t="str">
        <x:f>INDEX(TrackMap!$F$8:$F$141,H1027)</x:f>
        <x:v>→</x:v>
      </x:c>
      <x:c r="M1027" s="87" t="n">
        <x:f>MAX(0,G1027/Control!$B$17)</x:f>
        <x:v>0.8591687502649484</x:v>
      </x:c>
      <x:c r="N1027" s="73" t="n">
        <x:f>IF(N1021&gt;0,N1021,IF(G1027&gt;=Control!$B$17,A1027,0))</x:f>
        <x:v>0</x:v>
      </x:c>
      <x:c r="O1027" s="91" t="n">
        <x:f>IF(N1027&gt;0,Control!$B$17+Control!$B$8+1-N1027,G1027)-B1027/100000</x:f>
        <x:v>575.6430026775155</x:v>
      </x:c>
      <x:c r="P1027" s="73" t="n">
        <x:f>COUNTIF($O$1022:$O$1027,"&gt;"&amp;O1027)+1</x:f>
        <x:v>3</x:v>
      </x:c>
      <x:c r="Q1027" s="83" t="n">
        <x:f>MAX($G$1022:$G$1027)-G1027</x:f>
        <x:v>5.547986249875407</x:v>
      </x:c>
      <x:c r="R1027" s="73" t="str">
        <x:f>INDEX(TrackMap!$B$8:$B$141,H1027)</x:f>
        <x:v>西侧发卡弯</x:v>
      </x:c>
    </x:row>
    <x:row r="1028" ht="20" customHeight="1">
      <x:c r="A1028" s="73" t="n">
        <x:v>170</x:v>
      </x:c>
      <x:c r="B1028" s="73" t="n">
        <x:v>1</x:v>
      </x:c>
      <x:c r="C1028" s="73" t="str">
        <x:f>INDEX(Drivers!$B$8:$B$13,B1028)</x:f>
        <x:v>赤焰</x:v>
      </x:c>
      <x:c r="D1028" s="83" t="n">
        <x:f>G1022</x:f>
        <x:v>581.1910489273909</x:v>
      </x:c>
      <x:c r="E1028" s="83" t="str">
        <x:f>IF(A1028=0,"GRID",IF(D1028&gt;=Control!$B$17,"FINISHED",IF(AND(A1028&gt;=INDEX(Drivers!$G$8:$G$13,B1028),A1028&lt;INDEX(Drivers!$G$8:$G$13,B1028)+INDEX(Drivers!$J$8:$J$13,B1028)),"PIT",IF(MOD(A1028+INDEX(Drivers!$F$8:$F$13,B1028),Control!$B$11)&lt;Control!$B$13,"BOOST","RACE"))))</x:f>
        <x:v>RACE</x:v>
      </x:c>
      <x:c r="F1028" s="83" t="n">
        <x:f>IF(OR(E1028="GRID",E1028="FINISHED",E1028="PIT"),0,MAX(Control!$B$15,(INDEX(Drivers!$D$8:$D$13,B1028)+INDEX(Drivers!$E$8:$E$13,B1028)*SIN((A1028+INDEX(Drivers!$F$8:$F$13,B1028)+Control!$B$16)*Control!$B$14))*INDEX(TrackMap!$M$8:$M$141,MOD(INT(D1028)-1,Control!$B$7)+1)*IF(E1028="BOOST",Control!$B$12,1)))</x:f>
        <x:v>2.478110643749441</x:v>
      </x:c>
      <x:c r="G1028" s="83" t="n">
        <x:f>IF(A1028=0,D1028,MIN(Control!$B$17,D1028+F1028))</x:f>
        <x:v>583.6691595711403</x:v>
      </x:c>
      <x:c r="H1028" s="73" t="n">
        <x:f>MOD(INT(G1028)-1,Control!$B$7)+1</x:f>
        <x:v>47</x:v>
      </x:c>
      <x:c r="I1028" s="73" t="n">
        <x:f>MIN(Control!$B$6,MAX(1,INT(MAX(0,G1028)/Control!$B$7)+1))</x:f>
        <x:v>5</x:v>
      </x:c>
      <x:c r="J1028" s="73" t="n">
        <x:f>INDEX(Drivers!$H$8:$H$13,B1028)</x:f>
        <x:v>1</x:v>
      </x:c>
      <x:c r="K1028" s="73" t="n">
        <x:f>IF(J1028=1,INDEX(TrackMap!$I$8:$I$141,H1028),INDEX(TrackMap!$L$8:$L$141,H1028))</x:f>
        <x:v>1419</x:v>
      </x:c>
      <x:c r="L1028" s="73" t="str">
        <x:f>INDEX(TrackMap!$F$8:$F$141,H1028)</x:f>
        <x:v>↓</x:v>
      </x:c>
      <x:c r="M1028" s="87" t="n">
        <x:f>MAX(0,G1028/Control!$B$17)</x:f>
        <x:v>0.8711479993599109</x:v>
      </x:c>
      <x:c r="N1028" s="73" t="n">
        <x:f>IF(N1022&gt;0,N1022,IF(G1028&gt;=Control!$B$17,A1028,0))</x:f>
        <x:v>0</x:v>
      </x:c>
      <x:c r="O1028" s="91" t="n">
        <x:f>IF(N1028&gt;0,Control!$B$17+Control!$B$8+1-N1028,G1028)-B1028/100000</x:f>
        <x:v>583.6691495711403</x:v>
      </x:c>
      <x:c r="P1028" s="73" t="n">
        <x:f>COUNTIF($O$1028:$O$1033,"&gt;"&amp;O1028)+1</x:f>
        <x:v>1</x:v>
      </x:c>
      <x:c r="Q1028" s="83" t="n">
        <x:f>MAX($G$1028:$G$1033)-G1028</x:f>
        <x:v>0</x:v>
      </x:c>
      <x:c r="R1028" s="73" t="str">
        <x:f>INDEX(TrackMap!$B$8:$B$141,H1028)</x:f>
        <x:v>中段下行弯</x:v>
      </x:c>
    </x:row>
    <x:row r="1029" ht="20" customHeight="1">
      <x:c r="A1029" s="73" t="n">
        <x:v>170</x:v>
      </x:c>
      <x:c r="B1029" s="73" t="n">
        <x:v>2</x:v>
      </x:c>
      <x:c r="C1029" s="73" t="str">
        <x:f>INDEX(Drivers!$B$8:$B$13,B1029)</x:f>
        <x:v>蓝电</x:v>
      </x:c>
      <x:c r="D1029" s="83" t="n">
        <x:f>G1023</x:f>
        <x:v>562.8132154418471</x:v>
      </x:c>
      <x:c r="E1029" s="83" t="str">
        <x:f>IF(A1029=0,"GRID",IF(D1029&gt;=Control!$B$17,"FINISHED",IF(AND(A1029&gt;=INDEX(Drivers!$G$8:$G$13,B1029),A1029&lt;INDEX(Drivers!$G$8:$G$13,B1029)+INDEX(Drivers!$J$8:$J$13,B1029)),"PIT",IF(MOD(A1029+INDEX(Drivers!$F$8:$F$13,B1029),Control!$B$11)&lt;Control!$B$13,"BOOST","RACE"))))</x:f>
        <x:v>RACE</x:v>
      </x:c>
      <x:c r="F1029" s="83" t="n">
        <x:f>IF(OR(E1029="GRID",E1029="FINISHED",E1029="PIT"),0,MAX(Control!$B$15,(INDEX(Drivers!$D$8:$D$13,B1029)+INDEX(Drivers!$E$8:$E$13,B1029)*SIN((A1029+INDEX(Drivers!$F$8:$F$13,B1029)+Control!$B$16)*Control!$B$14))*INDEX(TrackMap!$M$8:$M$141,MOD(INT(D1029)-1,Control!$B$7)+1)*IF(E1029="BOOST",Control!$B$12,1)))</x:f>
        <x:v>3.260341328555746</x:v>
      </x:c>
      <x:c r="G1029" s="83" t="n">
        <x:f>IF(A1029=0,D1029,MIN(Control!$B$17,D1029+F1029))</x:f>
        <x:v>566.0735567704029</x:v>
      </x:c>
      <x:c r="H1029" s="73" t="n">
        <x:f>MOD(INT(G1029)-1,Control!$B$7)+1</x:f>
        <x:v>30</x:v>
      </x:c>
      <x:c r="I1029" s="73" t="n">
        <x:f>MIN(Control!$B$6,MAX(1,INT(MAX(0,G1029)/Control!$B$7)+1))</x:f>
        <x:v>5</x:v>
      </x:c>
      <x:c r="J1029" s="73" t="n">
        <x:f>INDEX(Drivers!$H$8:$H$13,B1029)</x:f>
        <x:v>2</x:v>
      </x:c>
      <x:c r="K1029" s="73" t="n">
        <x:f>IF(J1029=1,INDEX(TrackMap!$I$8:$I$141,H1029),INDEX(TrackMap!$L$8:$L$141,H1029))</x:f>
        <x:v>1511</x:v>
      </x:c>
      <x:c r="L1029" s="73" t="str">
        <x:f>INDEX(TrackMap!$F$8:$F$141,H1029)</x:f>
        <x:v>↑</x:v>
      </x:c>
      <x:c r="M1029" s="87" t="n">
        <x:f>MAX(0,G1029/Control!$B$17)</x:f>
        <x:v>0.844885905627467</x:v>
      </x:c>
      <x:c r="N1029" s="73" t="n">
        <x:f>IF(N1023&gt;0,N1023,IF(G1029&gt;=Control!$B$17,A1029,0))</x:f>
        <x:v>0</x:v>
      </x:c>
      <x:c r="O1029" s="91" t="n">
        <x:f>IF(N1029&gt;0,Control!$B$17+Control!$B$8+1-N1029,G1029)-B1029/100000</x:f>
        <x:v>566.0735367704029</x:v>
      </x:c>
      <x:c r="P1029" s="73" t="n">
        <x:f>COUNTIF($O$1028:$O$1033,"&gt;"&amp;O1029)+1</x:f>
        <x:v>6</x:v>
      </x:c>
      <x:c r="Q1029" s="83" t="n">
        <x:f>MAX($G$1028:$G$1033)-G1029</x:f>
        <x:v>17.595602800737424</x:v>
      </x:c>
      <x:c r="R1029" s="73" t="str">
        <x:f>INDEX(TrackMap!$B$8:$B$141,H1029)</x:f>
        <x:v>西侧上坡弯</x:v>
      </x:c>
    </x:row>
    <x:row r="1030" ht="20" customHeight="1">
      <x:c r="A1030" s="73" t="n">
        <x:v>170</x:v>
      </x:c>
      <x:c r="B1030" s="73" t="n">
        <x:v>3</x:v>
      </x:c>
      <x:c r="C1030" s="73" t="str">
        <x:f>INDEX(Drivers!$B$8:$B$13,B1030)</x:f>
        <x:v>金翼</x:v>
      </x:c>
      <x:c r="D1030" s="83" t="n">
        <x:f>G1024</x:f>
        <x:v>579.5237664271824</x:v>
      </x:c>
      <x:c r="E1030" s="83" t="str">
        <x:f>IF(A1030=0,"GRID",IF(D1030&gt;=Control!$B$17,"FINISHED",IF(AND(A1030&gt;=INDEX(Drivers!$G$8:$G$13,B1030),A1030&lt;INDEX(Drivers!$G$8:$G$13,B1030)+INDEX(Drivers!$J$8:$J$13,B1030)),"PIT",IF(MOD(A1030+INDEX(Drivers!$F$8:$F$13,B1030),Control!$B$11)&lt;Control!$B$13,"BOOST","RACE"))))</x:f>
        <x:v>BOOST</x:v>
      </x:c>
      <x:c r="F1030" s="83" t="n">
        <x:f>IF(OR(E1030="GRID",E1030="FINISHED",E1030="PIT"),0,MAX(Control!$B$15,(INDEX(Drivers!$D$8:$D$13,B1030)+INDEX(Drivers!$E$8:$E$13,B1030)*SIN((A1030+INDEX(Drivers!$F$8:$F$13,B1030)+Control!$B$16)*Control!$B$14))*INDEX(TrackMap!$M$8:$M$141,MOD(INT(D1030)-1,Control!$B$7)+1)*IF(E1030="BOOST",Control!$B$12,1)))</x:f>
        <x:v>3.452109675167019</x:v>
      </x:c>
      <x:c r="G1030" s="83" t="n">
        <x:f>IF(A1030=0,D1030,MIN(Control!$B$17,D1030+F1030))</x:f>
        <x:v>582.9758761023494</x:v>
      </x:c>
      <x:c r="H1030" s="73" t="n">
        <x:f>MOD(INT(G1030)-1,Control!$B$7)+1</x:f>
        <x:v>46</x:v>
      </x:c>
      <x:c r="I1030" s="73" t="n">
        <x:f>MIN(Control!$B$6,MAX(1,INT(MAX(0,G1030)/Control!$B$7)+1))</x:f>
        <x:v>5</x:v>
      </x:c>
      <x:c r="J1030" s="73" t="n">
        <x:f>INDEX(Drivers!$H$8:$H$13,B1030)</x:f>
        <x:v>1</x:v>
      </x:c>
      <x:c r="K1030" s="73" t="n">
        <x:f>IF(J1030=1,INDEX(TrackMap!$I$8:$I$141,H1030),INDEX(TrackMap!$L$8:$L$141,H1030))</x:f>
        <x:v>1319</x:v>
      </x:c>
      <x:c r="L1030" s="73" t="str">
        <x:f>INDEX(TrackMap!$F$8:$F$141,H1030)</x:f>
        <x:v>↓</x:v>
      </x:c>
      <x:c r="M1030" s="87" t="n">
        <x:f>MAX(0,G1030/Control!$B$17)</x:f>
        <x:v>0.8701132479139543</x:v>
      </x:c>
      <x:c r="N1030" s="73" t="n">
        <x:f>IF(N1024&gt;0,N1024,IF(G1030&gt;=Control!$B$17,A1030,0))</x:f>
        <x:v>0</x:v>
      </x:c>
      <x:c r="O1030" s="91" t="n">
        <x:f>IF(N1030&gt;0,Control!$B$17+Control!$B$8+1-N1030,G1030)-B1030/100000</x:f>
        <x:v>582.9758461023494</x:v>
      </x:c>
      <x:c r="P1030" s="73" t="n">
        <x:f>COUNTIF($O$1028:$O$1033,"&gt;"&amp;O1030)+1</x:f>
        <x:v>2</x:v>
      </x:c>
      <x:c r="Q1030" s="83" t="n">
        <x:f>MAX($G$1028:$G$1033)-G1030</x:f>
        <x:v>0.6932834687909235</x:v>
      </x:c>
      <x:c r="R1030" s="73" t="str">
        <x:f>INDEX(TrackMap!$B$8:$B$141,H1030)</x:f>
        <x:v>中段下行弯</x:v>
      </x:c>
    </x:row>
    <x:row r="1031" ht="20" customHeight="1">
      <x:c r="A1031" s="73" t="n">
        <x:v>170</x:v>
      </x:c>
      <x:c r="B1031" s="73" t="n">
        <x:v>4</x:v>
      </x:c>
      <x:c r="C1031" s="73" t="str">
        <x:f>INDEX(Drivers!$B$8:$B$13,B1031)</x:f>
        <x:v>紫影</x:v>
      </x:c>
      <x:c r="D1031" s="83" t="n">
        <x:f>G1025</x:f>
        <x:v>568.3942029722003</x:v>
      </x:c>
      <x:c r="E1031" s="83" t="str">
        <x:f>IF(A1031=0,"GRID",IF(D1031&gt;=Control!$B$17,"FINISHED",IF(AND(A1031&gt;=INDEX(Drivers!$G$8:$G$13,B1031),A1031&lt;INDEX(Drivers!$G$8:$G$13,B1031)+INDEX(Drivers!$J$8:$J$13,B1031)),"PIT",IF(MOD(A1031+INDEX(Drivers!$F$8:$F$13,B1031),Control!$B$11)&lt;Control!$B$13,"BOOST","RACE"))))</x:f>
        <x:v>RACE</x:v>
      </x:c>
      <x:c r="F1031" s="83" t="n">
        <x:f>IF(OR(E1031="GRID",E1031="FINISHED",E1031="PIT"),0,MAX(Control!$B$15,(INDEX(Drivers!$D$8:$D$13,B1031)+INDEX(Drivers!$E$8:$E$13,B1031)*SIN((A1031+INDEX(Drivers!$F$8:$F$13,B1031)+Control!$B$16)*Control!$B$14))*INDEX(TrackMap!$M$8:$M$141,MOD(INT(D1031)-1,Control!$B$7)+1)*IF(E1031="BOOST",Control!$B$12,1)))</x:f>
        <x:v>3.853207307747998</x:v>
      </x:c>
      <x:c r="G1031" s="83" t="n">
        <x:f>IF(A1031=0,D1031,MIN(Control!$B$17,D1031+F1031))</x:f>
        <x:v>572.2474102799483</x:v>
      </x:c>
      <x:c r="H1031" s="73" t="n">
        <x:f>MOD(INT(G1031)-1,Control!$B$7)+1</x:f>
        <x:v>36</x:v>
      </x:c>
      <x:c r="I1031" s="73" t="n">
        <x:f>MIN(Control!$B$6,MAX(1,INT(MAX(0,G1031)/Control!$B$7)+1))</x:f>
        <x:v>5</x:v>
      </x:c>
      <x:c r="J1031" s="73" t="n">
        <x:f>INDEX(Drivers!$H$8:$H$13,B1031)</x:f>
        <x:v>2</x:v>
      </x:c>
      <x:c r="K1031" s="73" t="n">
        <x:f>IF(J1031=1,INDEX(TrackMap!$I$8:$I$141,H1031),INDEX(TrackMap!$L$8:$L$141,H1031))</x:f>
        <x:v>912</x:v>
      </x:c>
      <x:c r="L1031" s="73" t="str">
        <x:f>INDEX(TrackMap!$F$8:$F$141,H1031)</x:f>
        <x:v>→</x:v>
      </x:c>
      <x:c r="M1031" s="87" t="n">
        <x:f>MAX(0,G1031/Control!$B$17)</x:f>
        <x:v>0.8541006123581318</x:v>
      </x:c>
      <x:c r="N1031" s="73" t="n">
        <x:f>IF(N1025&gt;0,N1025,IF(G1031&gt;=Control!$B$17,A1031,0))</x:f>
        <x:v>0</x:v>
      </x:c>
      <x:c r="O1031" s="91" t="n">
        <x:f>IF(N1031&gt;0,Control!$B$17+Control!$B$8+1-N1031,G1031)-B1031/100000</x:f>
        <x:v>572.2473702799483</x:v>
      </x:c>
      <x:c r="P1031" s="73" t="n">
        <x:f>COUNTIF($O$1028:$O$1033,"&gt;"&amp;O1031)+1</x:f>
        <x:v>5</x:v>
      </x:c>
      <x:c r="Q1031" s="83" t="n">
        <x:f>MAX($G$1028:$G$1033)-G1031</x:f>
        <x:v>11.421749291191986</x:v>
      </x:c>
      <x:c r="R1031" s="73" t="str">
        <x:f>INDEX(TrackMap!$B$8:$B$141,H1031)</x:f>
        <x:v>西侧发卡弯</x:v>
      </x:c>
    </x:row>
    <x:row r="1032" ht="20" customHeight="1">
      <x:c r="A1032" s="73" t="n">
        <x:v>170</x:v>
      </x:c>
      <x:c r="B1032" s="73" t="n">
        <x:v>5</x:v>
      </x:c>
      <x:c r="C1032" s="73" t="str">
        <x:f>INDEX(Drivers!$B$8:$B$13,B1032)</x:f>
        <x:v>青锋</x:v>
      </x:c>
      <x:c r="D1032" s="83" t="n">
        <x:f>G1026</x:f>
        <x:v>574.6431233823718</x:v>
      </x:c>
      <x:c r="E1032" s="83" t="str">
        <x:f>IF(A1032=0,"GRID",IF(D1032&gt;=Control!$B$17,"FINISHED",IF(AND(A1032&gt;=INDEX(Drivers!$G$8:$G$13,B1032),A1032&lt;INDEX(Drivers!$G$8:$G$13,B1032)+INDEX(Drivers!$J$8:$J$13,B1032)),"PIT",IF(MOD(A1032+INDEX(Drivers!$F$8:$F$13,B1032),Control!$B$11)&lt;Control!$B$13,"BOOST","RACE"))))</x:f>
        <x:v>RACE</x:v>
      </x:c>
      <x:c r="F1032" s="83" t="n">
        <x:f>IF(OR(E1032="GRID",E1032="FINISHED",E1032="PIT"),0,MAX(Control!$B$15,(INDEX(Drivers!$D$8:$D$13,B1032)+INDEX(Drivers!$E$8:$E$13,B1032)*SIN((A1032+INDEX(Drivers!$F$8:$F$13,B1032)+Control!$B$16)*Control!$B$14))*INDEX(TrackMap!$M$8:$M$141,MOD(INT(D1032)-1,Control!$B$7)+1)*IF(E1032="BOOST",Control!$B$12,1)))</x:f>
        <x:v>3.0059796656213154</x:v>
      </x:c>
      <x:c r="G1032" s="83" t="n">
        <x:f>IF(A1032=0,D1032,MIN(Control!$B$17,D1032+F1032))</x:f>
        <x:v>577.6491030479931</x:v>
      </x:c>
      <x:c r="H1032" s="73" t="n">
        <x:f>MOD(INT(G1032)-1,Control!$B$7)+1</x:f>
        <x:v>41</x:v>
      </x:c>
      <x:c r="I1032" s="73" t="n">
        <x:f>MIN(Control!$B$6,MAX(1,INT(MAX(0,G1032)/Control!$B$7)+1))</x:f>
        <x:v>5</x:v>
      </x:c>
      <x:c r="J1032" s="73" t="n">
        <x:f>INDEX(Drivers!$H$8:$H$13,B1032)</x:f>
        <x:v>1</x:v>
      </x:c>
      <x:c r="K1032" s="73" t="n">
        <x:f>IF(J1032=1,INDEX(TrackMap!$I$8:$I$141,H1032),INDEX(TrackMap!$L$8:$L$141,H1032))</x:f>
        <x:v>817</x:v>
      </x:c>
      <x:c r="L1032" s="73" t="str">
        <x:f>INDEX(TrackMap!$F$8:$F$141,H1032)</x:f>
        <x:v>→</x:v>
      </x:c>
      <x:c r="M1032" s="87" t="n">
        <x:f>MAX(0,G1032/Control!$B$17)</x:f>
        <x:v>0.8621628403701389</x:v>
      </x:c>
      <x:c r="N1032" s="73" t="n">
        <x:f>IF(N1026&gt;0,N1026,IF(G1032&gt;=Control!$B$17,A1032,0))</x:f>
        <x:v>0</x:v>
      </x:c>
      <x:c r="O1032" s="91" t="n">
        <x:f>IF(N1032&gt;0,Control!$B$17+Control!$B$8+1-N1032,G1032)-B1032/100000</x:f>
        <x:v>577.6490530479931</x:v>
      </x:c>
      <x:c r="P1032" s="73" t="n">
        <x:f>COUNTIF($O$1028:$O$1033,"&gt;"&amp;O1032)+1</x:f>
        <x:v>4</x:v>
      </x:c>
      <x:c r="Q1032" s="83" t="n">
        <x:f>MAX($G$1028:$G$1033)-G1032</x:f>
        <x:v>6.020056523147218</x:v>
      </x:c>
      <x:c r="R1032" s="73" t="str">
        <x:f>INDEX(TrackMap!$B$8:$B$141,H1032)</x:f>
        <x:v>西侧发卡弯</x:v>
      </x:c>
    </x:row>
    <x:row r="1033" ht="20" customHeight="1">
      <x:c r="A1033" s="73" t="n">
        <x:v>170</x:v>
      </x:c>
      <x:c r="B1033" s="73" t="n">
        <x:v>6</x:v>
      </x:c>
      <x:c r="C1033" s="73" t="str">
        <x:f>INDEX(Drivers!$B$8:$B$13,B1033)</x:f>
        <x:v>玫速</x:v>
      </x:c>
      <x:c r="D1033" s="83" t="n">
        <x:f>G1027</x:f>
        <x:v>575.6430626775154</x:v>
      </x:c>
      <x:c r="E1033" s="83" t="str">
        <x:f>IF(A1033=0,"GRID",IF(D1033&gt;=Control!$B$17,"FINISHED",IF(AND(A1033&gt;=INDEX(Drivers!$G$8:$G$13,B1033),A1033&lt;INDEX(Drivers!$G$8:$G$13,B1033)+INDEX(Drivers!$J$8:$J$13,B1033)),"PIT",IF(MOD(A1033+INDEX(Drivers!$F$8:$F$13,B1033),Control!$B$11)&lt;Control!$B$13,"BOOST","RACE"))))</x:f>
        <x:v>RACE</x:v>
      </x:c>
      <x:c r="F1033" s="83" t="n">
        <x:f>IF(OR(E1033="GRID",E1033="FINISHED",E1033="PIT"),0,MAX(Control!$B$15,(INDEX(Drivers!$D$8:$D$13,B1033)+INDEX(Drivers!$E$8:$E$13,B1033)*SIN((A1033+INDEX(Drivers!$F$8:$F$13,B1033)+Control!$B$16)*Control!$B$14))*INDEX(TrackMap!$M$8:$M$141,MOD(INT(D1033)-1,Control!$B$7)+1)*IF(E1033="BOOST",Control!$B$12,1)))</x:f>
        <x:v>2.9202088087183093</x:v>
      </x:c>
      <x:c r="G1033" s="83" t="n">
        <x:f>IF(A1033=0,D1033,MIN(Control!$B$17,D1033+F1033))</x:f>
        <x:v>578.5632714862337</x:v>
      </x:c>
      <x:c r="H1033" s="73" t="n">
        <x:f>MOD(INT(G1033)-1,Control!$B$7)+1</x:f>
        <x:v>42</x:v>
      </x:c>
      <x:c r="I1033" s="73" t="n">
        <x:f>MIN(Control!$B$6,MAX(1,INT(MAX(0,G1033)/Control!$B$7)+1))</x:f>
        <x:v>5</x:v>
      </x:c>
      <x:c r="J1033" s="73" t="n">
        <x:f>INDEX(Drivers!$H$8:$H$13,B1033)</x:f>
        <x:v>2</x:v>
      </x:c>
      <x:c r="K1033" s="73" t="n">
        <x:f>IF(J1033=1,INDEX(TrackMap!$I$8:$I$141,H1033),INDEX(TrackMap!$L$8:$L$141,H1033))</x:f>
        <x:v>918</x:v>
      </x:c>
      <x:c r="L1033" s="73" t="str">
        <x:f>INDEX(TrackMap!$F$8:$F$141,H1033)</x:f>
        <x:v>→</x:v>
      </x:c>
      <x:c r="M1033" s="87" t="n">
        <x:f>MAX(0,G1033/Control!$B$17)</x:f>
        <x:v>0.8635272708749757</x:v>
      </x:c>
      <x:c r="N1033" s="73" t="n">
        <x:f>IF(N1027&gt;0,N1027,IF(G1033&gt;=Control!$B$17,A1033,0))</x:f>
        <x:v>0</x:v>
      </x:c>
      <x:c r="O1033" s="91" t="n">
        <x:f>IF(N1033&gt;0,Control!$B$17+Control!$B$8+1-N1033,G1033)-B1033/100000</x:f>
        <x:v>578.5632114862337</x:v>
      </x:c>
      <x:c r="P1033" s="73" t="n">
        <x:f>COUNTIF($O$1028:$O$1033,"&gt;"&amp;O1033)+1</x:f>
        <x:v>3</x:v>
      </x:c>
      <x:c r="Q1033" s="83" t="n">
        <x:f>MAX($G$1028:$G$1033)-G1033</x:f>
        <x:v>5.10588808490661</x:v>
      </x:c>
      <x:c r="R1033" s="73" t="str">
        <x:f>INDEX(TrackMap!$B$8:$B$141,H1033)</x:f>
        <x:v>西侧发卡弯</x:v>
      </x:c>
    </x:row>
    <x:row r="1034" ht="20" customHeight="1">
      <x:c r="A1034" s="73" t="n">
        <x:v>171</x:v>
      </x:c>
      <x:c r="B1034" s="73" t="n">
        <x:v>1</x:v>
      </x:c>
      <x:c r="C1034" s="73" t="str">
        <x:f>INDEX(Drivers!$B$8:$B$13,B1034)</x:f>
        <x:v>赤焰</x:v>
      </x:c>
      <x:c r="D1034" s="83" t="n">
        <x:f>G1028</x:f>
        <x:v>583.6691595711403</x:v>
      </x:c>
      <x:c r="E1034" s="83" t="str">
        <x:f>IF(A1034=0,"GRID",IF(D1034&gt;=Control!$B$17,"FINISHED",IF(AND(A1034&gt;=INDEX(Drivers!$G$8:$G$13,B1034),A1034&lt;INDEX(Drivers!$G$8:$G$13,B1034)+INDEX(Drivers!$J$8:$J$13,B1034)),"PIT",IF(MOD(A1034+INDEX(Drivers!$F$8:$F$13,B1034),Control!$B$11)&lt;Control!$B$13,"BOOST","RACE"))))</x:f>
        <x:v>RACE</x:v>
      </x:c>
      <x:c r="F1034" s="83" t="n">
        <x:f>IF(OR(E1034="GRID",E1034="FINISHED",E1034="PIT"),0,MAX(Control!$B$15,(INDEX(Drivers!$D$8:$D$13,B1034)+INDEX(Drivers!$E$8:$E$13,B1034)*SIN((A1034+INDEX(Drivers!$F$8:$F$13,B1034)+Control!$B$16)*Control!$B$14))*INDEX(TrackMap!$M$8:$M$141,MOD(INT(D1034)-1,Control!$B$7)+1)*IF(E1034="BOOST",Control!$B$12,1)))</x:f>
        <x:v>3.3106008666665154</x:v>
      </x:c>
      <x:c r="G1034" s="83" t="n">
        <x:f>IF(A1034=0,D1034,MIN(Control!$B$17,D1034+F1034))</x:f>
        <x:v>586.9797604378068</x:v>
      </x:c>
      <x:c r="H1034" s="73" t="n">
        <x:f>MOD(INT(G1034)-1,Control!$B$7)+1</x:f>
        <x:v>50</x:v>
      </x:c>
      <x:c r="I1034" s="73" t="n">
        <x:f>MIN(Control!$B$6,MAX(1,INT(MAX(0,G1034)/Control!$B$7)+1))</x:f>
        <x:v>5</x:v>
      </x:c>
      <x:c r="J1034" s="73" t="n">
        <x:f>INDEX(Drivers!$H$8:$H$13,B1034)</x:f>
        <x:v>1</x:v>
      </x:c>
      <x:c r="K1034" s="73" t="n">
        <x:f>IF(J1034=1,INDEX(TrackMap!$I$8:$I$141,H1034),INDEX(TrackMap!$L$8:$L$141,H1034))</x:f>
        <x:v>1623</x:v>
      </x:c>
      <x:c r="L1034" s="73" t="str">
        <x:f>INDEX(TrackMap!$F$8:$F$141,H1034)</x:f>
        <x:v>→</x:v>
      </x:c>
      <x:c r="M1034" s="87" t="n">
        <x:f>MAX(0,G1034/Control!$B$17)</x:f>
        <x:v>0.8760891946832937</x:v>
      </x:c>
      <x:c r="N1034" s="73" t="n">
        <x:f>IF(N1028&gt;0,N1028,IF(G1034&gt;=Control!$B$17,A1034,0))</x:f>
        <x:v>0</x:v>
      </x:c>
      <x:c r="O1034" s="91" t="n">
        <x:f>IF(N1034&gt;0,Control!$B$17+Control!$B$8+1-N1034,G1034)-B1034/100000</x:f>
        <x:v>586.9797504378068</x:v>
      </x:c>
      <x:c r="P1034" s="73" t="n">
        <x:f>COUNTIF($O$1034:$O$1039,"&gt;"&amp;O1034)+1</x:f>
        <x:v>2</x:v>
      </x:c>
      <x:c r="Q1034" s="83" t="n">
        <x:f>MAX($G$1034:$G$1039)-G1034</x:f>
        <x:v>0.3292279183539222</x:v>
      </x:c>
      <x:c r="R1034" s="73" t="str">
        <x:f>INDEX(TrackMap!$B$8:$B$141,H1034)</x:f>
        <x:v>中央高速直道</x:v>
      </x:c>
    </x:row>
    <x:row r="1035" ht="20" customHeight="1">
      <x:c r="A1035" s="73" t="n">
        <x:v>171</x:v>
      </x:c>
      <x:c r="B1035" s="73" t="n">
        <x:v>2</x:v>
      </x:c>
      <x:c r="C1035" s="73" t="str">
        <x:f>INDEX(Drivers!$B$8:$B$13,B1035)</x:f>
        <x:v>蓝电</x:v>
      </x:c>
      <x:c r="D1035" s="83" t="n">
        <x:f>G1029</x:f>
        <x:v>566.0735567704029</x:v>
      </x:c>
      <x:c r="E1035" s="83" t="str">
        <x:f>IF(A1035=0,"GRID",IF(D1035&gt;=Control!$B$17,"FINISHED",IF(AND(A1035&gt;=INDEX(Drivers!$G$8:$G$13,B1035),A1035&lt;INDEX(Drivers!$G$8:$G$13,B1035)+INDEX(Drivers!$J$8:$J$13,B1035)),"PIT",IF(MOD(A1035+INDEX(Drivers!$F$8:$F$13,B1035),Control!$B$11)&lt;Control!$B$13,"BOOST","RACE"))))</x:f>
        <x:v>RACE</x:v>
      </x:c>
      <x:c r="F1035" s="83" t="n">
        <x:f>IF(OR(E1035="GRID",E1035="FINISHED",E1035="PIT"),0,MAX(Control!$B$15,(INDEX(Drivers!$D$8:$D$13,B1035)+INDEX(Drivers!$E$8:$E$13,B1035)*SIN((A1035+INDEX(Drivers!$F$8:$F$13,B1035)+Control!$B$16)*Control!$B$14))*INDEX(TrackMap!$M$8:$M$141,MOD(INT(D1035)-1,Control!$B$7)+1)*IF(E1035="BOOST",Control!$B$12,1)))</x:f>
        <x:v>4.142761778694577</x:v>
      </x:c>
      <x:c r="G1035" s="83" t="n">
        <x:f>IF(A1035=0,D1035,MIN(Control!$B$17,D1035+F1035))</x:f>
        <x:v>570.2163185490974</x:v>
      </x:c>
      <x:c r="H1035" s="73" t="n">
        <x:f>MOD(INT(G1035)-1,Control!$B$7)+1</x:f>
        <x:v>34</x:v>
      </x:c>
      <x:c r="I1035" s="73" t="n">
        <x:f>MIN(Control!$B$6,MAX(1,INT(MAX(0,G1035)/Control!$B$7)+1))</x:f>
        <x:v>5</x:v>
      </x:c>
      <x:c r="J1035" s="73" t="n">
        <x:f>INDEX(Drivers!$H$8:$H$13,B1035)</x:f>
        <x:v>2</x:v>
      </x:c>
      <x:c r="K1035" s="73" t="n">
        <x:f>IF(J1035=1,INDEX(TrackMap!$I$8:$I$141,H1035),INDEX(TrackMap!$L$8:$L$141,H1035))</x:f>
        <x:v>1111</x:v>
      </x:c>
      <x:c r="L1035" s="73" t="str">
        <x:f>INDEX(TrackMap!$F$8:$F$141,H1035)</x:f>
        <x:v>↑</x:v>
      </x:c>
      <x:c r="M1035" s="87" t="n">
        <x:f>MAX(0,G1035/Control!$B$17)</x:f>
        <x:v>0.851069132162832</x:v>
      </x:c>
      <x:c r="N1035" s="73" t="n">
        <x:f>IF(N1029&gt;0,N1029,IF(G1035&gt;=Control!$B$17,A1035,0))</x:f>
        <x:v>0</x:v>
      </x:c>
      <x:c r="O1035" s="91" t="n">
        <x:f>IF(N1035&gt;0,Control!$B$17+Control!$B$8+1-N1035,G1035)-B1035/100000</x:f>
        <x:v>570.2162985490975</x:v>
      </x:c>
      <x:c r="P1035" s="73" t="n">
        <x:f>COUNTIF($O$1034:$O$1039,"&gt;"&amp;O1035)+1</x:f>
        <x:v>6</x:v>
      </x:c>
      <x:c r="Q1035" s="83" t="n">
        <x:f>MAX($G$1034:$G$1039)-G1035</x:f>
        <x:v>17.092669807063317</x:v>
      </x:c>
      <x:c r="R1035" s="73" t="str">
        <x:f>INDEX(TrackMap!$B$8:$B$141,H1035)</x:f>
        <x:v>西侧上坡弯</x:v>
      </x:c>
    </x:row>
    <x:row r="1036" ht="20" customHeight="1">
      <x:c r="A1036" s="73" t="n">
        <x:v>171</x:v>
      </x:c>
      <x:c r="B1036" s="73" t="n">
        <x:v>3</x:v>
      </x:c>
      <x:c r="C1036" s="73" t="str">
        <x:f>INDEX(Drivers!$B$8:$B$13,B1036)</x:f>
        <x:v>金翼</x:v>
      </x:c>
      <x:c r="D1036" s="83" t="n">
        <x:f>G1030</x:f>
        <x:v>582.9758761023494</x:v>
      </x:c>
      <x:c r="E1036" s="83" t="str">
        <x:f>IF(A1036=0,"GRID",IF(D1036&gt;=Control!$B$17,"FINISHED",IF(AND(A1036&gt;=INDEX(Drivers!$G$8:$G$13,B1036),A1036&lt;INDEX(Drivers!$G$8:$G$13,B1036)+INDEX(Drivers!$J$8:$J$13,B1036)),"PIT",IF(MOD(A1036+INDEX(Drivers!$F$8:$F$13,B1036),Control!$B$11)&lt;Control!$B$13,"BOOST","RACE"))))</x:f>
        <x:v>BOOST</x:v>
      </x:c>
      <x:c r="F1036" s="83" t="n">
        <x:f>IF(OR(E1036="GRID",E1036="FINISHED",E1036="PIT"),0,MAX(Control!$B$15,(INDEX(Drivers!$D$8:$D$13,B1036)+INDEX(Drivers!$E$8:$E$13,B1036)*SIN((A1036+INDEX(Drivers!$F$8:$F$13,B1036)+Control!$B$16)*Control!$B$14))*INDEX(TrackMap!$M$8:$M$141,MOD(INT(D1036)-1,Control!$B$7)+1)*IF(E1036="BOOST",Control!$B$12,1)))</x:f>
        <x:v>4.3331122538112945</x:v>
      </x:c>
      <x:c r="G1036" s="83" t="n">
        <x:f>IF(A1036=0,D1036,MIN(Control!$B$17,D1036+F1036))</x:f>
        <x:v>587.3089883561607</x:v>
      </x:c>
      <x:c r="H1036" s="73" t="n">
        <x:f>MOD(INT(G1036)-1,Control!$B$7)+1</x:f>
        <x:v>51</x:v>
      </x:c>
      <x:c r="I1036" s="73" t="n">
        <x:f>MIN(Control!$B$6,MAX(1,INT(MAX(0,G1036)/Control!$B$7)+1))</x:f>
        <x:v>5</x:v>
      </x:c>
      <x:c r="J1036" s="73" t="n">
        <x:f>INDEX(Drivers!$H$8:$H$13,B1036)</x:f>
        <x:v>1</x:v>
      </x:c>
      <x:c r="K1036" s="73" t="n">
        <x:f>IF(J1036=1,INDEX(TrackMap!$I$8:$I$141,H1036),INDEX(TrackMap!$L$8:$L$141,H1036))</x:f>
        <x:v>1624</x:v>
      </x:c>
      <x:c r="L1036" s="73" t="str">
        <x:f>INDEX(TrackMap!$F$8:$F$141,H1036)</x:f>
        <x:v>→</x:v>
      </x:c>
      <x:c r="M1036" s="87" t="n">
        <x:f>MAX(0,G1036/Control!$B$17)</x:f>
        <x:v>0.8765805796360608</x:v>
      </x:c>
      <x:c r="N1036" s="73" t="n">
        <x:f>IF(N1030&gt;0,N1030,IF(G1036&gt;=Control!$B$17,A1036,0))</x:f>
        <x:v>0</x:v>
      </x:c>
      <x:c r="O1036" s="91" t="n">
        <x:f>IF(N1036&gt;0,Control!$B$17+Control!$B$8+1-N1036,G1036)-B1036/100000</x:f>
        <x:v>587.3089583561607</x:v>
      </x:c>
      <x:c r="P1036" s="73" t="n">
        <x:f>COUNTIF($O$1034:$O$1039,"&gt;"&amp;O1036)+1</x:f>
        <x:v>1</x:v>
      </x:c>
      <x:c r="Q1036" s="83" t="n">
        <x:f>MAX($G$1034:$G$1039)-G1036</x:f>
        <x:v>0</x:v>
      </x:c>
      <x:c r="R1036" s="73" t="str">
        <x:f>INDEX(TrackMap!$B$8:$B$141,H1036)</x:f>
        <x:v>中央高速直道</x:v>
      </x:c>
    </x:row>
    <x:row r="1037" ht="20" customHeight="1">
      <x:c r="A1037" s="73" t="n">
        <x:v>171</x:v>
      </x:c>
      <x:c r="B1037" s="73" t="n">
        <x:v>4</x:v>
      </x:c>
      <x:c r="C1037" s="73" t="str">
        <x:f>INDEX(Drivers!$B$8:$B$13,B1037)</x:f>
        <x:v>紫影</x:v>
      </x:c>
      <x:c r="D1037" s="83" t="n">
        <x:f>G1031</x:f>
        <x:v>572.2474102799483</x:v>
      </x:c>
      <x:c r="E1037" s="83" t="str">
        <x:f>IF(A1037=0,"GRID",IF(D1037&gt;=Control!$B$17,"FINISHED",IF(AND(A1037&gt;=INDEX(Drivers!$G$8:$G$13,B1037),A1037&lt;INDEX(Drivers!$G$8:$G$13,B1037)+INDEX(Drivers!$J$8:$J$13,B1037)),"PIT",IF(MOD(A1037+INDEX(Drivers!$F$8:$F$13,B1037),Control!$B$11)&lt;Control!$B$13,"BOOST","RACE"))))</x:f>
        <x:v>RACE</x:v>
      </x:c>
      <x:c r="F1037" s="83" t="n">
        <x:f>IF(OR(E1037="GRID",E1037="FINISHED",E1037="PIT"),0,MAX(Control!$B$15,(INDEX(Drivers!$D$8:$D$13,B1037)+INDEX(Drivers!$E$8:$E$13,B1037)*SIN((A1037+INDEX(Drivers!$F$8:$F$13,B1037)+Control!$B$16)*Control!$B$14))*INDEX(TrackMap!$M$8:$M$141,MOD(INT(D1037)-1,Control!$B$7)+1)*IF(E1037="BOOST",Control!$B$12,1)))</x:f>
        <x:v>3.1393180871945736</x:v>
      </x:c>
      <x:c r="G1037" s="83" t="n">
        <x:f>IF(A1037=0,D1037,MIN(Control!$B$17,D1037+F1037))</x:f>
        <x:v>575.386728367143</x:v>
      </x:c>
      <x:c r="H1037" s="73" t="n">
        <x:f>MOD(INT(G1037)-1,Control!$B$7)+1</x:f>
        <x:v>39</x:v>
      </x:c>
      <x:c r="I1037" s="73" t="n">
        <x:f>MIN(Control!$B$6,MAX(1,INT(MAX(0,G1037)/Control!$B$7)+1))</x:f>
        <x:v>5</x:v>
      </x:c>
      <x:c r="J1037" s="73" t="n">
        <x:f>INDEX(Drivers!$H$8:$H$13,B1037)</x:f>
        <x:v>2</x:v>
      </x:c>
      <x:c r="K1037" s="73" t="n">
        <x:f>IF(J1037=1,INDEX(TrackMap!$I$8:$I$141,H1037),INDEX(TrackMap!$L$8:$L$141,H1037))</x:f>
        <x:v>915</x:v>
      </x:c>
      <x:c r="L1037" s="73" t="str">
        <x:f>INDEX(TrackMap!$F$8:$F$141,H1037)</x:f>
        <x:v>→</x:v>
      </x:c>
      <x:c r="M1037" s="87" t="n">
        <x:f>MAX(0,G1037/Control!$B$17)</x:f>
        <x:v>0.8587861617420044</x:v>
      </x:c>
      <x:c r="N1037" s="73" t="n">
        <x:f>IF(N1031&gt;0,N1031,IF(G1037&gt;=Control!$B$17,A1037,0))</x:f>
        <x:v>0</x:v>
      </x:c>
      <x:c r="O1037" s="91" t="n">
        <x:f>IF(N1037&gt;0,Control!$B$17+Control!$B$8+1-N1037,G1037)-B1037/100000</x:f>
        <x:v>575.3866883671429</x:v>
      </x:c>
      <x:c r="P1037" s="73" t="n">
        <x:f>COUNTIF($O$1034:$O$1039,"&gt;"&amp;O1037)+1</x:f>
        <x:v>5</x:v>
      </x:c>
      <x:c r="Q1037" s="83" t="n">
        <x:f>MAX($G$1034:$G$1039)-G1037</x:f>
        <x:v>11.922259989017789</x:v>
      </x:c>
      <x:c r="R1037" s="73" t="str">
        <x:f>INDEX(TrackMap!$B$8:$B$141,H1037)</x:f>
        <x:v>西侧发卡弯</x:v>
      </x:c>
    </x:row>
    <x:row r="1038" ht="20" customHeight="1">
      <x:c r="A1038" s="73" t="n">
        <x:v>171</x:v>
      </x:c>
      <x:c r="B1038" s="73" t="n">
        <x:v>5</x:v>
      </x:c>
      <x:c r="C1038" s="73" t="str">
        <x:f>INDEX(Drivers!$B$8:$B$13,B1038)</x:f>
        <x:v>青锋</x:v>
      </x:c>
      <x:c r="D1038" s="83" t="n">
        <x:f>G1032</x:f>
        <x:v>577.6491030479931</x:v>
      </x:c>
      <x:c r="E1038" s="83" t="str">
        <x:f>IF(A1038=0,"GRID",IF(D1038&gt;=Control!$B$17,"FINISHED",IF(AND(A1038&gt;=INDEX(Drivers!$G$8:$G$13,B1038),A1038&lt;INDEX(Drivers!$G$8:$G$13,B1038)+INDEX(Drivers!$J$8:$J$13,B1038)),"PIT",IF(MOD(A1038+INDEX(Drivers!$F$8:$F$13,B1038),Control!$B$11)&lt;Control!$B$13,"BOOST","RACE"))))</x:f>
        <x:v>RACE</x:v>
      </x:c>
      <x:c r="F1038" s="83" t="n">
        <x:f>IF(OR(E1038="GRID",E1038="FINISHED",E1038="PIT"),0,MAX(Control!$B$15,(INDEX(Drivers!$D$8:$D$13,B1038)+INDEX(Drivers!$E$8:$E$13,B1038)*SIN((A1038+INDEX(Drivers!$F$8:$F$13,B1038)+Control!$B$16)*Control!$B$14))*INDEX(TrackMap!$M$8:$M$141,MOD(INT(D1038)-1,Control!$B$7)+1)*IF(E1038="BOOST",Control!$B$12,1)))</x:f>
        <x:v>3.126554825995716</x:v>
      </x:c>
      <x:c r="G1038" s="83" t="n">
        <x:f>IF(A1038=0,D1038,MIN(Control!$B$17,D1038+F1038))</x:f>
        <x:v>580.7756578739888</x:v>
      </x:c>
      <x:c r="H1038" s="73" t="n">
        <x:f>MOD(INT(G1038)-1,Control!$B$7)+1</x:f>
        <x:v>44</x:v>
      </x:c>
      <x:c r="I1038" s="73" t="n">
        <x:f>MIN(Control!$B$6,MAX(1,INT(MAX(0,G1038)/Control!$B$7)+1))</x:f>
        <x:v>5</x:v>
      </x:c>
      <x:c r="J1038" s="73" t="n">
        <x:f>INDEX(Drivers!$H$8:$H$13,B1038)</x:f>
        <x:v>1</x:v>
      </x:c>
      <x:c r="K1038" s="73" t="n">
        <x:f>IF(J1038=1,INDEX(TrackMap!$I$8:$I$141,H1038),INDEX(TrackMap!$L$8:$L$141,H1038))</x:f>
        <x:v>1119</x:v>
      </x:c>
      <x:c r="L1038" s="73" t="str">
        <x:f>INDEX(TrackMap!$F$8:$F$141,H1038)</x:f>
        <x:v>↓</x:v>
      </x:c>
      <x:c r="M1038" s="87" t="n">
        <x:f>MAX(0,G1038/Control!$B$17)</x:f>
        <x:v>0.8668293401104311</x:v>
      </x:c>
      <x:c r="N1038" s="73" t="n">
        <x:f>IF(N1032&gt;0,N1032,IF(G1038&gt;=Control!$B$17,A1038,0))</x:f>
        <x:v>0</x:v>
      </x:c>
      <x:c r="O1038" s="91" t="n">
        <x:f>IF(N1038&gt;0,Control!$B$17+Control!$B$8+1-N1038,G1038)-B1038/100000</x:f>
        <x:v>580.7756078739889</x:v>
      </x:c>
      <x:c r="P1038" s="73" t="n">
        <x:f>COUNTIF($O$1034:$O$1039,"&gt;"&amp;O1038)+1</x:f>
        <x:v>4</x:v>
      </x:c>
      <x:c r="Q1038" s="83" t="n">
        <x:f>MAX($G$1034:$G$1039)-G1038</x:f>
        <x:v>6.533330482171891</x:v>
      </x:c>
      <x:c r="R1038" s="73" t="str">
        <x:f>INDEX(TrackMap!$B$8:$B$141,H1038)</x:f>
        <x:v>中段下行弯</x:v>
      </x:c>
    </x:row>
    <x:row r="1039" ht="20" customHeight="1">
      <x:c r="A1039" s="73" t="n">
        <x:v>171</x:v>
      </x:c>
      <x:c r="B1039" s="73" t="n">
        <x:v>6</x:v>
      </x:c>
      <x:c r="C1039" s="73" t="str">
        <x:f>INDEX(Drivers!$B$8:$B$13,B1039)</x:f>
        <x:v>玫速</x:v>
      </x:c>
      <x:c r="D1039" s="83" t="n">
        <x:f>G1033</x:f>
        <x:v>578.5632714862337</x:v>
      </x:c>
      <x:c r="E1039" s="83" t="str">
        <x:f>IF(A1039=0,"GRID",IF(D1039&gt;=Control!$B$17,"FINISHED",IF(AND(A1039&gt;=INDEX(Drivers!$G$8:$G$13,B1039),A1039&lt;INDEX(Drivers!$G$8:$G$13,B1039)+INDEX(Drivers!$J$8:$J$13,B1039)),"PIT",IF(MOD(A1039+INDEX(Drivers!$F$8:$F$13,B1039),Control!$B$11)&lt;Control!$B$13,"BOOST","RACE"))))</x:f>
        <x:v>RACE</x:v>
      </x:c>
      <x:c r="F1039" s="83" t="n">
        <x:f>IF(OR(E1039="GRID",E1039="FINISHED",E1039="PIT"),0,MAX(Control!$B$15,(INDEX(Drivers!$D$8:$D$13,B1039)+INDEX(Drivers!$E$8:$E$13,B1039)*SIN((A1039+INDEX(Drivers!$F$8:$F$13,B1039)+Control!$B$16)*Control!$B$14))*INDEX(TrackMap!$M$8:$M$141,MOD(INT(D1039)-1,Control!$B$7)+1)*IF(E1039="BOOST",Control!$B$12,1)))</x:f>
        <x:v>2.7485633027537326</x:v>
      </x:c>
      <x:c r="G1039" s="83" t="n">
        <x:f>IF(A1039=0,D1039,MIN(Control!$B$17,D1039+F1039))</x:f>
        <x:v>581.3118347889874</x:v>
      </x:c>
      <x:c r="H1039" s="73" t="n">
        <x:f>MOD(INT(G1039)-1,Control!$B$7)+1</x:f>
        <x:v>45</x:v>
      </x:c>
      <x:c r="I1039" s="73" t="n">
        <x:f>MIN(Control!$B$6,MAX(1,INT(MAX(0,G1039)/Control!$B$7)+1))</x:f>
        <x:v>5</x:v>
      </x:c>
      <x:c r="J1039" s="73" t="n">
        <x:f>INDEX(Drivers!$H$8:$H$13,B1039)</x:f>
        <x:v>2</x:v>
      </x:c>
      <x:c r="K1039" s="73" t="n">
        <x:f>IF(J1039=1,INDEX(TrackMap!$I$8:$I$141,H1039),INDEX(TrackMap!$L$8:$L$141,H1039))</x:f>
        <x:v>1220</x:v>
      </x:c>
      <x:c r="L1039" s="73" t="str">
        <x:f>INDEX(TrackMap!$F$8:$F$141,H1039)</x:f>
        <x:v>↓</x:v>
      </x:c>
      <x:c r="M1039" s="87" t="n">
        <x:f>MAX(0,G1039/Control!$B$17)</x:f>
        <x:v>0.8676296041626678</x:v>
      </x:c>
      <x:c r="N1039" s="73" t="n">
        <x:f>IF(N1033&gt;0,N1033,IF(G1039&gt;=Control!$B$17,A1039,0))</x:f>
        <x:v>0</x:v>
      </x:c>
      <x:c r="O1039" s="91" t="n">
        <x:f>IF(N1039&gt;0,Control!$B$17+Control!$B$8+1-N1039,G1039)-B1039/100000</x:f>
        <x:v>581.3117747889875</x:v>
      </x:c>
      <x:c r="P1039" s="73" t="n">
        <x:f>COUNTIF($O$1034:$O$1039,"&gt;"&amp;O1039)+1</x:f>
        <x:v>3</x:v>
      </x:c>
      <x:c r="Q1039" s="83" t="n">
        <x:f>MAX($G$1034:$G$1039)-G1039</x:f>
        <x:v>5.997153567173314</x:v>
      </x:c>
      <x:c r="R1039" s="73" t="str">
        <x:f>INDEX(TrackMap!$B$8:$B$141,H1039)</x:f>
        <x:v>中段下行弯</x:v>
      </x:c>
    </x:row>
    <x:row r="1040" ht="20" customHeight="1">
      <x:c r="A1040" s="73" t="n">
        <x:v>172</x:v>
      </x:c>
      <x:c r="B1040" s="73" t="n">
        <x:v>1</x:v>
      </x:c>
      <x:c r="C1040" s="73" t="str">
        <x:f>INDEX(Drivers!$B$8:$B$13,B1040)</x:f>
        <x:v>赤焰</x:v>
      </x:c>
      <x:c r="D1040" s="83" t="n">
        <x:f>G1034</x:f>
        <x:v>586.9797604378068</x:v>
      </x:c>
      <x:c r="E1040" s="83" t="str">
        <x:f>IF(A1040=0,"GRID",IF(D1040&gt;=Control!$B$17,"FINISHED",IF(AND(A1040&gt;=INDEX(Drivers!$G$8:$G$13,B1040),A1040&lt;INDEX(Drivers!$G$8:$G$13,B1040)+INDEX(Drivers!$J$8:$J$13,B1040)),"PIT",IF(MOD(A1040+INDEX(Drivers!$F$8:$F$13,B1040),Control!$B$11)&lt;Control!$B$13,"BOOST","RACE"))))</x:f>
        <x:v>RACE</x:v>
      </x:c>
      <x:c r="F1040" s="83" t="n">
        <x:f>IF(OR(E1040="GRID",E1040="FINISHED",E1040="PIT"),0,MAX(Control!$B$15,(INDEX(Drivers!$D$8:$D$13,B1040)+INDEX(Drivers!$E$8:$E$13,B1040)*SIN((A1040+INDEX(Drivers!$F$8:$F$13,B1040)+Control!$B$16)*Control!$B$14))*INDEX(TrackMap!$M$8:$M$141,MOD(INT(D1040)-1,Control!$B$7)+1)*IF(E1040="BOOST",Control!$B$12,1)))</x:f>
        <x:v>3.4900728859525025</x:v>
      </x:c>
      <x:c r="G1040" s="83" t="n">
        <x:f>IF(A1040=0,D1040,MIN(Control!$B$17,D1040+F1040))</x:f>
        <x:v>590.4698333237593</x:v>
      </x:c>
      <x:c r="H1040" s="73" t="n">
        <x:f>MOD(INT(G1040)-1,Control!$B$7)+1</x:f>
        <x:v>54</x:v>
      </x:c>
      <x:c r="I1040" s="73" t="n">
        <x:f>MIN(Control!$B$6,MAX(1,INT(MAX(0,G1040)/Control!$B$7)+1))</x:f>
        <x:v>5</x:v>
      </x:c>
      <x:c r="J1040" s="73" t="n">
        <x:f>INDEX(Drivers!$H$8:$H$13,B1040)</x:f>
        <x:v>1</x:v>
      </x:c>
      <x:c r="K1040" s="73" t="n">
        <x:f>IF(J1040=1,INDEX(TrackMap!$I$8:$I$141,H1040),INDEX(TrackMap!$L$8:$L$141,H1040))</x:f>
        <x:v>1627</x:v>
      </x:c>
      <x:c r="L1040" s="73" t="str">
        <x:f>INDEX(TrackMap!$F$8:$F$141,H1040)</x:f>
        <x:v>→</x:v>
      </x:c>
      <x:c r="M1040" s="87" t="n">
        <x:f>MAX(0,G1040/Control!$B$17)</x:f>
        <x:v>0.881298258692178</x:v>
      </x:c>
      <x:c r="N1040" s="73" t="n">
        <x:f>IF(N1034&gt;0,N1034,IF(G1040&gt;=Control!$B$17,A1040,0))</x:f>
        <x:v>0</x:v>
      </x:c>
      <x:c r="O1040" s="91" t="n">
        <x:f>IF(N1040&gt;0,Control!$B$17+Control!$B$8+1-N1040,G1040)-B1040/100000</x:f>
        <x:v>590.4698233237593</x:v>
      </x:c>
      <x:c r="P1040" s="73" t="n">
        <x:f>COUNTIF($O$1040:$O$1045,"&gt;"&amp;O1040)+1</x:f>
        <x:v>2</x:v>
      </x:c>
      <x:c r="Q1040" s="83" t="n">
        <x:f>MAX($G$1040:$G$1045)-G1040</x:f>
        <x:v>1.1691813065854149</x:v>
      </x:c>
      <x:c r="R1040" s="73" t="str">
        <x:f>INDEX(TrackMap!$B$8:$B$141,H1040)</x:f>
        <x:v>中央高速直道</x:v>
      </x:c>
    </x:row>
    <x:row r="1041" ht="20" customHeight="1">
      <x:c r="A1041" s="73" t="n">
        <x:v>172</x:v>
      </x:c>
      <x:c r="B1041" s="73" t="n">
        <x:v>2</x:v>
      </x:c>
      <x:c r="C1041" s="73" t="str">
        <x:f>INDEX(Drivers!$B$8:$B$13,B1041)</x:f>
        <x:v>蓝电</x:v>
      </x:c>
      <x:c r="D1041" s="83" t="n">
        <x:f>G1035</x:f>
        <x:v>570.2163185490974</x:v>
      </x:c>
      <x:c r="E1041" s="83" t="str">
        <x:f>IF(A1041=0,"GRID",IF(D1041&gt;=Control!$B$17,"FINISHED",IF(AND(A1041&gt;=INDEX(Drivers!$G$8:$G$13,B1041),A1041&lt;INDEX(Drivers!$G$8:$G$13,B1041)+INDEX(Drivers!$J$8:$J$13,B1041)),"PIT",IF(MOD(A1041+INDEX(Drivers!$F$8:$F$13,B1041),Control!$B$11)&lt;Control!$B$13,"BOOST","RACE"))))</x:f>
        <x:v>RACE</x:v>
      </x:c>
      <x:c r="F1041" s="83" t="n">
        <x:f>IF(OR(E1041="GRID",E1041="FINISHED",E1041="PIT"),0,MAX(Control!$B$15,(INDEX(Drivers!$D$8:$D$13,B1041)+INDEX(Drivers!$E$8:$E$13,B1041)*SIN((A1041+INDEX(Drivers!$F$8:$F$13,B1041)+Control!$B$16)*Control!$B$14))*INDEX(TrackMap!$M$8:$M$141,MOD(INT(D1041)-1,Control!$B$7)+1)*IF(E1041="BOOST",Control!$B$12,1)))</x:f>
        <x:v>3.1429566561728524</x:v>
      </x:c>
      <x:c r="G1041" s="83" t="n">
        <x:f>IF(A1041=0,D1041,MIN(Control!$B$17,D1041+F1041))</x:f>
        <x:v>573.3592752052703</x:v>
      </x:c>
      <x:c r="H1041" s="73" t="n">
        <x:f>MOD(INT(G1041)-1,Control!$B$7)+1</x:f>
        <x:v>37</x:v>
      </x:c>
      <x:c r="I1041" s="73" t="n">
        <x:f>MIN(Control!$B$6,MAX(1,INT(MAX(0,G1041)/Control!$B$7)+1))</x:f>
        <x:v>5</x:v>
      </x:c>
      <x:c r="J1041" s="73" t="n">
        <x:f>INDEX(Drivers!$H$8:$H$13,B1041)</x:f>
        <x:v>2</x:v>
      </x:c>
      <x:c r="K1041" s="73" t="n">
        <x:f>IF(J1041=1,INDEX(TrackMap!$I$8:$I$141,H1041),INDEX(TrackMap!$L$8:$L$141,H1041))</x:f>
        <x:v>913</x:v>
      </x:c>
      <x:c r="L1041" s="73" t="str">
        <x:f>INDEX(TrackMap!$F$8:$F$141,H1041)</x:f>
        <x:v>→</x:v>
      </x:c>
      <x:c r="M1041" s="87" t="n">
        <x:f>MAX(0,G1041/Control!$B$17)</x:f>
        <x:v>0.855760112246672</x:v>
      </x:c>
      <x:c r="N1041" s="73" t="n">
        <x:f>IF(N1035&gt;0,N1035,IF(G1041&gt;=Control!$B$17,A1041,0))</x:f>
        <x:v>0</x:v>
      </x:c>
      <x:c r="O1041" s="91" t="n">
        <x:f>IF(N1041&gt;0,Control!$B$17+Control!$B$8+1-N1041,G1041)-B1041/100000</x:f>
        <x:v>573.3592552052703</x:v>
      </x:c>
      <x:c r="P1041" s="73" t="n">
        <x:f>COUNTIF($O$1040:$O$1045,"&gt;"&amp;O1041)+1</x:f>
        <x:v>6</x:v>
      </x:c>
      <x:c r="Q1041" s="83" t="n">
        <x:f>MAX($G$1040:$G$1045)-G1041</x:f>
        <x:v>18.279739425074467</x:v>
      </x:c>
      <x:c r="R1041" s="73" t="str">
        <x:f>INDEX(TrackMap!$B$8:$B$141,H1041)</x:f>
        <x:v>西侧发卡弯</x:v>
      </x:c>
    </x:row>
    <x:row r="1042" ht="20" customHeight="1">
      <x:c r="A1042" s="73" t="n">
        <x:v>172</x:v>
      </x:c>
      <x:c r="B1042" s="73" t="n">
        <x:v>3</x:v>
      </x:c>
      <x:c r="C1042" s="73" t="str">
        <x:f>INDEX(Drivers!$B$8:$B$13,B1042)</x:f>
        <x:v>金翼</x:v>
      </x:c>
      <x:c r="D1042" s="83" t="n">
        <x:f>G1036</x:f>
        <x:v>587.3089883561607</x:v>
      </x:c>
      <x:c r="E1042" s="83" t="str">
        <x:f>IF(A1042=0,"GRID",IF(D1042&gt;=Control!$B$17,"FINISHED",IF(AND(A1042&gt;=INDEX(Drivers!$G$8:$G$13,B1042),A1042&lt;INDEX(Drivers!$G$8:$G$13,B1042)+INDEX(Drivers!$J$8:$J$13,B1042)),"PIT",IF(MOD(A1042+INDEX(Drivers!$F$8:$F$13,B1042),Control!$B$11)&lt;Control!$B$13,"BOOST","RACE"))))</x:f>
        <x:v>BOOST</x:v>
      </x:c>
      <x:c r="F1042" s="83" t="n">
        <x:f>IF(OR(E1042="GRID",E1042="FINISHED",E1042="PIT"),0,MAX(Control!$B$15,(INDEX(Drivers!$D$8:$D$13,B1042)+INDEX(Drivers!$E$8:$E$13,B1042)*SIN((A1042+INDEX(Drivers!$F$8:$F$13,B1042)+Control!$B$16)*Control!$B$14))*INDEX(TrackMap!$M$8:$M$141,MOD(INT(D1042)-1,Control!$B$7)+1)*IF(E1042="BOOST",Control!$B$12,1)))</x:f>
        <x:v>4.3300262741839335</x:v>
      </x:c>
      <x:c r="G1042" s="83" t="n">
        <x:f>IF(A1042=0,D1042,MIN(Control!$B$17,D1042+F1042))</x:f>
        <x:v>591.6390146303447</x:v>
      </x:c>
      <x:c r="H1042" s="73" t="n">
        <x:f>MOD(INT(G1042)-1,Control!$B$7)+1</x:f>
        <x:v>55</x:v>
      </x:c>
      <x:c r="I1042" s="73" t="n">
        <x:f>MIN(Control!$B$6,MAX(1,INT(MAX(0,G1042)/Control!$B$7)+1))</x:f>
        <x:v>5</x:v>
      </x:c>
      <x:c r="J1042" s="73" t="n">
        <x:f>INDEX(Drivers!$H$8:$H$13,B1042)</x:f>
        <x:v>1</x:v>
      </x:c>
      <x:c r="K1042" s="73" t="n">
        <x:f>IF(J1042=1,INDEX(TrackMap!$I$8:$I$141,H1042),INDEX(TrackMap!$L$8:$L$141,H1042))</x:f>
        <x:v>1628</x:v>
      </x:c>
      <x:c r="L1042" s="73" t="str">
        <x:f>INDEX(TrackMap!$F$8:$F$141,H1042)</x:f>
        <x:v>→</x:v>
      </x:c>
      <x:c r="M1042" s="87" t="n">
        <x:f>MAX(0,G1042/Control!$B$17)</x:f>
        <x:v>0.8830433054184249</x:v>
      </x:c>
      <x:c r="N1042" s="73" t="n">
        <x:f>IF(N1036&gt;0,N1036,IF(G1042&gt;=Control!$B$17,A1042,0))</x:f>
        <x:v>0</x:v>
      </x:c>
      <x:c r="O1042" s="91" t="n">
        <x:f>IF(N1042&gt;0,Control!$B$17+Control!$B$8+1-N1042,G1042)-B1042/100000</x:f>
        <x:v>591.6389846303447</x:v>
      </x:c>
      <x:c r="P1042" s="73" t="n">
        <x:f>COUNTIF($O$1040:$O$1045,"&gt;"&amp;O1042)+1</x:f>
        <x:v>1</x:v>
      </x:c>
      <x:c r="Q1042" s="83" t="n">
        <x:f>MAX($G$1040:$G$1045)-G1042</x:f>
        <x:v>0</x:v>
      </x:c>
      <x:c r="R1042" s="73" t="str">
        <x:f>INDEX(TrackMap!$B$8:$B$141,H1042)</x:f>
        <x:v>中央高速直道</x:v>
      </x:c>
    </x:row>
    <x:row r="1043" ht="20" customHeight="1">
      <x:c r="A1043" s="73" t="n">
        <x:v>172</x:v>
      </x:c>
      <x:c r="B1043" s="73" t="n">
        <x:v>4</x:v>
      </x:c>
      <x:c r="C1043" s="73" t="str">
        <x:f>INDEX(Drivers!$B$8:$B$13,B1043)</x:f>
        <x:v>紫影</x:v>
      </x:c>
      <x:c r="D1043" s="83" t="n">
        <x:f>G1037</x:f>
        <x:v>575.386728367143</x:v>
      </x:c>
      <x:c r="E1043" s="83" t="str">
        <x:f>IF(A1043=0,"GRID",IF(D1043&gt;=Control!$B$17,"FINISHED",IF(AND(A1043&gt;=INDEX(Drivers!$G$8:$G$13,B1043),A1043&lt;INDEX(Drivers!$G$8:$G$13,B1043)+INDEX(Drivers!$J$8:$J$13,B1043)),"PIT",IF(MOD(A1043+INDEX(Drivers!$F$8:$F$13,B1043),Control!$B$11)&lt;Control!$B$13,"BOOST","RACE"))))</x:f>
        <x:v>RACE</x:v>
      </x:c>
      <x:c r="F1043" s="83" t="n">
        <x:f>IF(OR(E1043="GRID",E1043="FINISHED",E1043="PIT"),0,MAX(Control!$B$15,(INDEX(Drivers!$D$8:$D$13,B1043)+INDEX(Drivers!$E$8:$E$13,B1043)*SIN((A1043+INDEX(Drivers!$F$8:$F$13,B1043)+Control!$B$16)*Control!$B$14))*INDEX(TrackMap!$M$8:$M$141,MOD(INT(D1043)-1,Control!$B$7)+1)*IF(E1043="BOOST",Control!$B$12,1)))</x:f>
        <x:v>3.228292125527331</x:v>
      </x:c>
      <x:c r="G1043" s="83" t="n">
        <x:f>IF(A1043=0,D1043,MIN(Control!$B$17,D1043+F1043))</x:f>
        <x:v>578.6150204926703</x:v>
      </x:c>
      <x:c r="H1043" s="73" t="n">
        <x:f>MOD(INT(G1043)-1,Control!$B$7)+1</x:f>
        <x:v>42</x:v>
      </x:c>
      <x:c r="I1043" s="73" t="n">
        <x:f>MIN(Control!$B$6,MAX(1,INT(MAX(0,G1043)/Control!$B$7)+1))</x:f>
        <x:v>5</x:v>
      </x:c>
      <x:c r="J1043" s="73" t="n">
        <x:f>INDEX(Drivers!$H$8:$H$13,B1043)</x:f>
        <x:v>2</x:v>
      </x:c>
      <x:c r="K1043" s="73" t="n">
        <x:f>IF(J1043=1,INDEX(TrackMap!$I$8:$I$141,H1043),INDEX(TrackMap!$L$8:$L$141,H1043))</x:f>
        <x:v>918</x:v>
      </x:c>
      <x:c r="L1043" s="73" t="str">
        <x:f>INDEX(TrackMap!$F$8:$F$141,H1043)</x:f>
        <x:v>→</x:v>
      </x:c>
      <x:c r="M1043" s="87" t="n">
        <x:f>MAX(0,G1043/Control!$B$17)</x:f>
        <x:v>0.8636045081980154</x:v>
      </x:c>
      <x:c r="N1043" s="73" t="n">
        <x:f>IF(N1037&gt;0,N1037,IF(G1043&gt;=Control!$B$17,A1043,0))</x:f>
        <x:v>0</x:v>
      </x:c>
      <x:c r="O1043" s="91" t="n">
        <x:f>IF(N1043&gt;0,Control!$B$17+Control!$B$8+1-N1043,G1043)-B1043/100000</x:f>
        <x:v>578.6149804926703</x:v>
      </x:c>
      <x:c r="P1043" s="73" t="n">
        <x:f>COUNTIF($O$1040:$O$1045,"&gt;"&amp;O1043)+1</x:f>
        <x:v>5</x:v>
      </x:c>
      <x:c r="Q1043" s="83" t="n">
        <x:f>MAX($G$1040:$G$1045)-G1043</x:f>
        <x:v>13.023994137674435</x:v>
      </x:c>
      <x:c r="R1043" s="73" t="str">
        <x:f>INDEX(TrackMap!$B$8:$B$141,H1043)</x:f>
        <x:v>西侧发卡弯</x:v>
      </x:c>
    </x:row>
    <x:row r="1044" ht="20" customHeight="1">
      <x:c r="A1044" s="73" t="n">
        <x:v>172</x:v>
      </x:c>
      <x:c r="B1044" s="73" t="n">
        <x:v>5</x:v>
      </x:c>
      <x:c r="C1044" s="73" t="str">
        <x:f>INDEX(Drivers!$B$8:$B$13,B1044)</x:f>
        <x:v>青锋</x:v>
      </x:c>
      <x:c r="D1044" s="83" t="n">
        <x:f>G1038</x:f>
        <x:v>580.7756578739888</x:v>
      </x:c>
      <x:c r="E1044" s="83" t="str">
        <x:f>IF(A1044=0,"GRID",IF(D1044&gt;=Control!$B$17,"FINISHED",IF(AND(A1044&gt;=INDEX(Drivers!$G$8:$G$13,B1044),A1044&lt;INDEX(Drivers!$G$8:$G$13,B1044)+INDEX(Drivers!$J$8:$J$13,B1044)),"PIT",IF(MOD(A1044+INDEX(Drivers!$F$8:$F$13,B1044),Control!$B$11)&lt;Control!$B$13,"BOOST","RACE"))))</x:f>
        <x:v>RACE</x:v>
      </x:c>
      <x:c r="F1044" s="83" t="n">
        <x:f>IF(OR(E1044="GRID",E1044="FINISHED",E1044="PIT"),0,MAX(Control!$B$15,(INDEX(Drivers!$D$8:$D$13,B1044)+INDEX(Drivers!$E$8:$E$13,B1044)*SIN((A1044+INDEX(Drivers!$F$8:$F$13,B1044)+Control!$B$16)*Control!$B$14))*INDEX(TrackMap!$M$8:$M$141,MOD(INT(D1044)-1,Control!$B$7)+1)*IF(E1044="BOOST",Control!$B$12,1)))</x:f>
        <x:v>3.2071821653054826</x:v>
      </x:c>
      <x:c r="G1044" s="83" t="n">
        <x:f>IF(A1044=0,D1044,MIN(Control!$B$17,D1044+F1044))</x:f>
        <x:v>583.9828400392944</x:v>
      </x:c>
      <x:c r="H1044" s="73" t="n">
        <x:f>MOD(INT(G1044)-1,Control!$B$7)+1</x:f>
        <x:v>47</x:v>
      </x:c>
      <x:c r="I1044" s="73" t="n">
        <x:f>MIN(Control!$B$6,MAX(1,INT(MAX(0,G1044)/Control!$B$7)+1))</x:f>
        <x:v>5</x:v>
      </x:c>
      <x:c r="J1044" s="73" t="n">
        <x:f>INDEX(Drivers!$H$8:$H$13,B1044)</x:f>
        <x:v>1</x:v>
      </x:c>
      <x:c r="K1044" s="73" t="n">
        <x:f>IF(J1044=1,INDEX(TrackMap!$I$8:$I$141,H1044),INDEX(TrackMap!$L$8:$L$141,H1044))</x:f>
        <x:v>1419</x:v>
      </x:c>
      <x:c r="L1044" s="73" t="str">
        <x:f>INDEX(TrackMap!$F$8:$F$141,H1044)</x:f>
        <x:v>↓</x:v>
      </x:c>
      <x:c r="M1044" s="87" t="n">
        <x:f>MAX(0,G1044/Control!$B$17)</x:f>
        <x:v>0.871616179163126</x:v>
      </x:c>
      <x:c r="N1044" s="73" t="n">
        <x:f>IF(N1038&gt;0,N1038,IF(G1044&gt;=Control!$B$17,A1044,0))</x:f>
        <x:v>0</x:v>
      </x:c>
      <x:c r="O1044" s="91" t="n">
        <x:f>IF(N1044&gt;0,Control!$B$17+Control!$B$8+1-N1044,G1044)-B1044/100000</x:f>
        <x:v>583.9827900392944</x:v>
      </x:c>
      <x:c r="P1044" s="73" t="n">
        <x:f>COUNTIF($O$1040:$O$1045,"&gt;"&amp;O1044)+1</x:f>
        <x:v>4</x:v>
      </x:c>
      <x:c r="Q1044" s="83" t="n">
        <x:f>MAX($G$1040:$G$1045)-G1044</x:f>
        <x:v>7.6561745910503305</x:v>
      </x:c>
      <x:c r="R1044" s="73" t="str">
        <x:f>INDEX(TrackMap!$B$8:$B$141,H1044)</x:f>
        <x:v>中段下行弯</x:v>
      </x:c>
    </x:row>
    <x:row r="1045" ht="20" customHeight="1">
      <x:c r="A1045" s="73" t="n">
        <x:v>172</x:v>
      </x:c>
      <x:c r="B1045" s="73" t="n">
        <x:v>6</x:v>
      </x:c>
      <x:c r="C1045" s="73" t="str">
        <x:f>INDEX(Drivers!$B$8:$B$13,B1045)</x:f>
        <x:v>玫速</x:v>
      </x:c>
      <x:c r="D1045" s="83" t="n">
        <x:f>G1039</x:f>
        <x:v>581.3118347889874</x:v>
      </x:c>
      <x:c r="E1045" s="83" t="str">
        <x:f>IF(A1045=0,"GRID",IF(D1045&gt;=Control!$B$17,"FINISHED",IF(AND(A1045&gt;=INDEX(Drivers!$G$8:$G$13,B1045),A1045&lt;INDEX(Drivers!$G$8:$G$13,B1045)+INDEX(Drivers!$J$8:$J$13,B1045)),"PIT",IF(MOD(A1045+INDEX(Drivers!$F$8:$F$13,B1045),Control!$B$11)&lt;Control!$B$13,"BOOST","RACE"))))</x:f>
        <x:v>BOOST</x:v>
      </x:c>
      <x:c r="F1045" s="83" t="n">
        <x:f>IF(OR(E1045="GRID",E1045="FINISHED",E1045="PIT"),0,MAX(Control!$B$15,(INDEX(Drivers!$D$8:$D$13,B1045)+INDEX(Drivers!$E$8:$E$13,B1045)*SIN((A1045+INDEX(Drivers!$F$8:$F$13,B1045)+Control!$B$16)*Control!$B$14))*INDEX(TrackMap!$M$8:$M$141,MOD(INT(D1045)-1,Control!$B$7)+1)*IF(E1045="BOOST",Control!$B$12,1)))</x:f>
        <x:v>3.501100559969525</x:v>
      </x:c>
      <x:c r="G1045" s="83" t="n">
        <x:f>IF(A1045=0,D1045,MIN(Control!$B$17,D1045+F1045))</x:f>
        <x:v>584.8129353489569</x:v>
      </x:c>
      <x:c r="H1045" s="73" t="n">
        <x:f>MOD(INT(G1045)-1,Control!$B$7)+1</x:f>
        <x:v>48</x:v>
      </x:c>
      <x:c r="I1045" s="73" t="n">
        <x:f>MIN(Control!$B$6,MAX(1,INT(MAX(0,G1045)/Control!$B$7)+1))</x:f>
        <x:v>5</x:v>
      </x:c>
      <x:c r="J1045" s="73" t="n">
        <x:f>INDEX(Drivers!$H$8:$H$13,B1045)</x:f>
        <x:v>2</x:v>
      </x:c>
      <x:c r="K1045" s="73" t="n">
        <x:f>IF(J1045=1,INDEX(TrackMap!$I$8:$I$141,H1045),INDEX(TrackMap!$L$8:$L$141,H1045))</x:f>
        <x:v>1521</x:v>
      </x:c>
      <x:c r="L1045" s="73" t="str">
        <x:f>INDEX(TrackMap!$F$8:$F$141,H1045)</x:f>
        <x:v>→</x:v>
      </x:c>
      <x:c r="M1045" s="87" t="n">
        <x:f>MAX(0,G1045/Control!$B$17)</x:f>
        <x:v>0.8728551273865028</x:v>
      </x:c>
      <x:c r="N1045" s="73" t="n">
        <x:f>IF(N1039&gt;0,N1039,IF(G1045&gt;=Control!$B$17,A1045,0))</x:f>
        <x:v>0</x:v>
      </x:c>
      <x:c r="O1045" s="91" t="n">
        <x:f>IF(N1045&gt;0,Control!$B$17+Control!$B$8+1-N1045,G1045)-B1045/100000</x:f>
        <x:v>584.8128753489569</x:v>
      </x:c>
      <x:c r="P1045" s="73" t="n">
        <x:f>COUNTIF($O$1040:$O$1045,"&gt;"&amp;O1045)+1</x:f>
        <x:v>3</x:v>
      </x:c>
      <x:c r="Q1045" s="83" t="n">
        <x:f>MAX($G$1040:$G$1045)-G1045</x:f>
        <x:v>6.82607928138782</x:v>
      </x:c>
      <x:c r="R1045" s="73" t="str">
        <x:f>INDEX(TrackMap!$B$8:$B$141,H1045)</x:f>
        <x:v>中央高速直道</x:v>
      </x:c>
    </x:row>
    <x:row r="1046" ht="20" customHeight="1">
      <x:c r="A1046" s="73" t="n">
        <x:v>173</x:v>
      </x:c>
      <x:c r="B1046" s="73" t="n">
        <x:v>1</x:v>
      </x:c>
      <x:c r="C1046" s="73" t="str">
        <x:f>INDEX(Drivers!$B$8:$B$13,B1046)</x:f>
        <x:v>赤焰</x:v>
      </x:c>
      <x:c r="D1046" s="83" t="n">
        <x:f>G1040</x:f>
        <x:v>590.4698333237593</x:v>
      </x:c>
      <x:c r="E1046" s="83" t="str">
        <x:f>IF(A1046=0,"GRID",IF(D1046&gt;=Control!$B$17,"FINISHED",IF(AND(A1046&gt;=INDEX(Drivers!$G$8:$G$13,B1046),A1046&lt;INDEX(Drivers!$G$8:$G$13,B1046)+INDEX(Drivers!$J$8:$J$13,B1046)),"PIT",IF(MOD(A1046+INDEX(Drivers!$F$8:$F$13,B1046),Control!$B$11)&lt;Control!$B$13,"BOOST","RACE"))))</x:f>
        <x:v>RACE</x:v>
      </x:c>
      <x:c r="F1046" s="83" t="n">
        <x:f>IF(OR(E1046="GRID",E1046="FINISHED",E1046="PIT"),0,MAX(Control!$B$15,(INDEX(Drivers!$D$8:$D$13,B1046)+INDEX(Drivers!$E$8:$E$13,B1046)*SIN((A1046+INDEX(Drivers!$F$8:$F$13,B1046)+Control!$B$16)*Control!$B$14))*INDEX(TrackMap!$M$8:$M$141,MOD(INT(D1046)-1,Control!$B$7)+1)*IF(E1046="BOOST",Control!$B$12,1)))</x:f>
        <x:v>3.691190289872817</x:v>
      </x:c>
      <x:c r="G1046" s="83" t="n">
        <x:f>IF(A1046=0,D1046,MIN(Control!$B$17,D1046+F1046))</x:f>
        <x:v>594.1610236136321</x:v>
      </x:c>
      <x:c r="H1046" s="73" t="n">
        <x:f>MOD(INT(G1046)-1,Control!$B$7)+1</x:f>
        <x:v>58</x:v>
      </x:c>
      <x:c r="I1046" s="73" t="n">
        <x:f>MIN(Control!$B$6,MAX(1,INT(MAX(0,G1046)/Control!$B$7)+1))</x:f>
        <x:v>5</x:v>
      </x:c>
      <x:c r="J1046" s="73" t="n">
        <x:f>INDEX(Drivers!$H$8:$H$13,B1046)</x:f>
        <x:v>1</x:v>
      </x:c>
      <x:c r="K1046" s="73" t="n">
        <x:f>IF(J1046=1,INDEX(TrackMap!$I$8:$I$141,H1046),INDEX(TrackMap!$L$8:$L$141,H1046))</x:f>
        <x:v>1631</x:v>
      </x:c>
      <x:c r="L1046" s="73" t="str">
        <x:f>INDEX(TrackMap!$F$8:$F$141,H1046)</x:f>
        <x:v>→</x:v>
      </x:c>
      <x:c r="M1046" s="87" t="n">
        <x:f>MAX(0,G1046/Control!$B$17)</x:f>
        <x:v>0.8868074979307942</x:v>
      </x:c>
      <x:c r="N1046" s="73" t="n">
        <x:f>IF(N1040&gt;0,N1040,IF(G1046&gt;=Control!$B$17,A1046,0))</x:f>
        <x:v>0</x:v>
      </x:c>
      <x:c r="O1046" s="91" t="n">
        <x:f>IF(N1046&gt;0,Control!$B$17+Control!$B$8+1-N1046,G1046)-B1046/100000</x:f>
        <x:v>594.1610136136321</x:v>
      </x:c>
      <x:c r="P1046" s="73" t="n">
        <x:f>COUNTIF($O$1046:$O$1051,"&gt;"&amp;O1046)+1</x:f>
        <x:v>2</x:v>
      </x:c>
      <x:c r="Q1046" s="83" t="n">
        <x:f>MAX($G$1046:$G$1051)-G1046</x:f>
        <x:v>1.8949323855256353</x:v>
      </x:c>
      <x:c r="R1046" s="73" t="str">
        <x:f>INDEX(TrackMap!$B$8:$B$141,H1046)</x:f>
        <x:v>中央高速直道</x:v>
      </x:c>
    </x:row>
    <x:row r="1047" ht="20" customHeight="1">
      <x:c r="A1047" s="73" t="n">
        <x:v>173</x:v>
      </x:c>
      <x:c r="B1047" s="73" t="n">
        <x:v>2</x:v>
      </x:c>
      <x:c r="C1047" s="73" t="str">
        <x:f>INDEX(Drivers!$B$8:$B$13,B1047)</x:f>
        <x:v>蓝电</x:v>
      </x:c>
      <x:c r="D1047" s="83" t="n">
        <x:f>G1041</x:f>
        <x:v>573.3592752052703</x:v>
      </x:c>
      <x:c r="E1047" s="83" t="str">
        <x:f>IF(A1047=0,"GRID",IF(D1047&gt;=Control!$B$17,"FINISHED",IF(AND(A1047&gt;=INDEX(Drivers!$G$8:$G$13,B1047),A1047&lt;INDEX(Drivers!$G$8:$G$13,B1047)+INDEX(Drivers!$J$8:$J$13,B1047)),"PIT",IF(MOD(A1047+INDEX(Drivers!$F$8:$F$13,B1047),Control!$B$11)&lt;Control!$B$13,"BOOST","RACE"))))</x:f>
        <x:v>RACE</x:v>
      </x:c>
      <x:c r="F1047" s="83" t="n">
        <x:f>IF(OR(E1047="GRID",E1047="FINISHED",E1047="PIT"),0,MAX(Control!$B$15,(INDEX(Drivers!$D$8:$D$13,B1047)+INDEX(Drivers!$E$8:$E$13,B1047)*SIN((A1047+INDEX(Drivers!$F$8:$F$13,B1047)+Control!$B$16)*Control!$B$14))*INDEX(TrackMap!$M$8:$M$141,MOD(INT(D1047)-1,Control!$B$7)+1)*IF(E1047="BOOST",Control!$B$12,1)))</x:f>
        <x:v>3.007112926086553</x:v>
      </x:c>
      <x:c r="G1047" s="83" t="n">
        <x:f>IF(A1047=0,D1047,MIN(Control!$B$17,D1047+F1047))</x:f>
        <x:v>576.3663881313568</x:v>
      </x:c>
      <x:c r="H1047" s="73" t="n">
        <x:f>MOD(INT(G1047)-1,Control!$B$7)+1</x:f>
        <x:v>40</x:v>
      </x:c>
      <x:c r="I1047" s="73" t="n">
        <x:f>MIN(Control!$B$6,MAX(1,INT(MAX(0,G1047)/Control!$B$7)+1))</x:f>
        <x:v>5</x:v>
      </x:c>
      <x:c r="J1047" s="73" t="n">
        <x:f>INDEX(Drivers!$H$8:$H$13,B1047)</x:f>
        <x:v>2</x:v>
      </x:c>
      <x:c r="K1047" s="73" t="n">
        <x:f>IF(J1047=1,INDEX(TrackMap!$I$8:$I$141,H1047),INDEX(TrackMap!$L$8:$L$141,H1047))</x:f>
        <x:v>916</x:v>
      </x:c>
      <x:c r="L1047" s="73" t="str">
        <x:f>INDEX(TrackMap!$F$8:$F$141,H1047)</x:f>
        <x:v>→</x:v>
      </x:c>
      <x:c r="M1047" s="87" t="n">
        <x:f>MAX(0,G1047/Control!$B$17)</x:f>
        <x:v>0.8602483404945623</x:v>
      </x:c>
      <x:c r="N1047" s="73" t="n">
        <x:f>IF(N1041&gt;0,N1041,IF(G1047&gt;=Control!$B$17,A1047,0))</x:f>
        <x:v>0</x:v>
      </x:c>
      <x:c r="O1047" s="91" t="n">
        <x:f>IF(N1047&gt;0,Control!$B$17+Control!$B$8+1-N1047,G1047)-B1047/100000</x:f>
        <x:v>576.3663681313568</x:v>
      </x:c>
      <x:c r="P1047" s="73" t="n">
        <x:f>COUNTIF($O$1046:$O$1051,"&gt;"&amp;O1047)+1</x:f>
        <x:v>6</x:v>
      </x:c>
      <x:c r="Q1047" s="83" t="n">
        <x:f>MAX($G$1046:$G$1051)-G1047</x:f>
        <x:v>19.689567867800974</x:v>
      </x:c>
      <x:c r="R1047" s="73" t="str">
        <x:f>INDEX(TrackMap!$B$8:$B$141,H1047)</x:f>
        <x:v>西侧发卡弯</x:v>
      </x:c>
    </x:row>
    <x:row r="1048" ht="20" customHeight="1">
      <x:c r="A1048" s="73" t="n">
        <x:v>173</x:v>
      </x:c>
      <x:c r="B1048" s="73" t="n">
        <x:v>3</x:v>
      </x:c>
      <x:c r="C1048" s="73" t="str">
        <x:f>INDEX(Drivers!$B$8:$B$13,B1048)</x:f>
        <x:v>金翼</x:v>
      </x:c>
      <x:c r="D1048" s="83" t="n">
        <x:f>G1042</x:f>
        <x:v>591.6390146303447</x:v>
      </x:c>
      <x:c r="E1048" s="83" t="str">
        <x:f>IF(A1048=0,"GRID",IF(D1048&gt;=Control!$B$17,"FINISHED",IF(AND(A1048&gt;=INDEX(Drivers!$G$8:$G$13,B1048),A1048&lt;INDEX(Drivers!$G$8:$G$13,B1048)+INDEX(Drivers!$J$8:$J$13,B1048)),"PIT",IF(MOD(A1048+INDEX(Drivers!$F$8:$F$13,B1048),Control!$B$11)&lt;Control!$B$13,"BOOST","RACE"))))</x:f>
        <x:v>BOOST</x:v>
      </x:c>
      <x:c r="F1048" s="83" t="n">
        <x:f>IF(OR(E1048="GRID",E1048="FINISHED",E1048="PIT"),0,MAX(Control!$B$15,(INDEX(Drivers!$D$8:$D$13,B1048)+INDEX(Drivers!$E$8:$E$13,B1048)*SIN((A1048+INDEX(Drivers!$F$8:$F$13,B1048)+Control!$B$16)*Control!$B$14))*INDEX(TrackMap!$M$8:$M$141,MOD(INT(D1048)-1,Control!$B$7)+1)*IF(E1048="BOOST",Control!$B$12,1)))</x:f>
        <x:v>4.416941368813012</x:v>
      </x:c>
      <x:c r="G1048" s="83" t="n">
        <x:f>IF(A1048=0,D1048,MIN(Control!$B$17,D1048+F1048))</x:f>
        <x:v>596.0559559991577</x:v>
      </x:c>
      <x:c r="H1048" s="73" t="n">
        <x:f>MOD(INT(G1048)-1,Control!$B$7)+1</x:f>
        <x:v>60</x:v>
      </x:c>
      <x:c r="I1048" s="73" t="n">
        <x:f>MIN(Control!$B$6,MAX(1,INT(MAX(0,G1048)/Control!$B$7)+1))</x:f>
        <x:v>5</x:v>
      </x:c>
      <x:c r="J1048" s="73" t="n">
        <x:f>INDEX(Drivers!$H$8:$H$13,B1048)</x:f>
        <x:v>1</x:v>
      </x:c>
      <x:c r="K1048" s="73" t="n">
        <x:f>IF(J1048=1,INDEX(TrackMap!$I$8:$I$141,H1048),INDEX(TrackMap!$L$8:$L$141,H1048))</x:f>
        <x:v>1633</x:v>
      </x:c>
      <x:c r="L1048" s="73" t="str">
        <x:f>INDEX(TrackMap!$F$8:$F$141,H1048)</x:f>
        <x:v>→</x:v>
      </x:c>
      <x:c r="M1048" s="87" t="n">
        <x:f>MAX(0,G1048/Control!$B$17)</x:f>
        <x:v>0.8896357552226235</x:v>
      </x:c>
      <x:c r="N1048" s="73" t="n">
        <x:f>IF(N1042&gt;0,N1042,IF(G1048&gt;=Control!$B$17,A1048,0))</x:f>
        <x:v>0</x:v>
      </x:c>
      <x:c r="O1048" s="91" t="n">
        <x:f>IF(N1048&gt;0,Control!$B$17+Control!$B$8+1-N1048,G1048)-B1048/100000</x:f>
        <x:v>596.0559259991577</x:v>
      </x:c>
      <x:c r="P1048" s="73" t="n">
        <x:f>COUNTIF($O$1046:$O$1051,"&gt;"&amp;O1048)+1</x:f>
        <x:v>1</x:v>
      </x:c>
      <x:c r="Q1048" s="83" t="n">
        <x:f>MAX($G$1046:$G$1051)-G1048</x:f>
        <x:v>0</x:v>
      </x:c>
      <x:c r="R1048" s="73" t="str">
        <x:f>INDEX(TrackMap!$B$8:$B$141,H1048)</x:f>
        <x:v>中央高速直道</x:v>
      </x:c>
    </x:row>
    <x:row r="1049" ht="20" customHeight="1">
      <x:c r="A1049" s="73" t="n">
        <x:v>173</x:v>
      </x:c>
      <x:c r="B1049" s="73" t="n">
        <x:v>4</x:v>
      </x:c>
      <x:c r="C1049" s="73" t="str">
        <x:f>INDEX(Drivers!$B$8:$B$13,B1049)</x:f>
        <x:v>紫影</x:v>
      </x:c>
      <x:c r="D1049" s="83" t="n">
        <x:f>G1043</x:f>
        <x:v>578.6150204926703</x:v>
      </x:c>
      <x:c r="E1049" s="83" t="str">
        <x:f>IF(A1049=0,"GRID",IF(D1049&gt;=Control!$B$17,"FINISHED",IF(AND(A1049&gt;=INDEX(Drivers!$G$8:$G$13,B1049),A1049&lt;INDEX(Drivers!$G$8:$G$13,B1049)+INDEX(Drivers!$J$8:$J$13,B1049)),"PIT",IF(MOD(A1049+INDEX(Drivers!$F$8:$F$13,B1049),Control!$B$11)&lt;Control!$B$13,"BOOST","RACE"))))</x:f>
        <x:v>RACE</x:v>
      </x:c>
      <x:c r="F1049" s="83" t="n">
        <x:f>IF(OR(E1049="GRID",E1049="FINISHED",E1049="PIT"),0,MAX(Control!$B$15,(INDEX(Drivers!$D$8:$D$13,B1049)+INDEX(Drivers!$E$8:$E$13,B1049)*SIN((A1049+INDEX(Drivers!$F$8:$F$13,B1049)+Control!$B$16)*Control!$B$14))*INDEX(TrackMap!$M$8:$M$141,MOD(INT(D1049)-1,Control!$B$7)+1)*IF(E1049="BOOST",Control!$B$12,1)))</x:f>
        <x:v>3.260381596349454</x:v>
      </x:c>
      <x:c r="G1049" s="83" t="n">
        <x:f>IF(A1049=0,D1049,MIN(Control!$B$17,D1049+F1049))</x:f>
        <x:v>581.8754020890198</x:v>
      </x:c>
      <x:c r="H1049" s="73" t="n">
        <x:f>MOD(INT(G1049)-1,Control!$B$7)+1</x:f>
        <x:v>45</x:v>
      </x:c>
      <x:c r="I1049" s="73" t="n">
        <x:f>MIN(Control!$B$6,MAX(1,INT(MAX(0,G1049)/Control!$B$7)+1))</x:f>
        <x:v>5</x:v>
      </x:c>
      <x:c r="J1049" s="73" t="n">
        <x:f>INDEX(Drivers!$H$8:$H$13,B1049)</x:f>
        <x:v>2</x:v>
      </x:c>
      <x:c r="K1049" s="73" t="n">
        <x:f>IF(J1049=1,INDEX(TrackMap!$I$8:$I$141,H1049),INDEX(TrackMap!$L$8:$L$141,H1049))</x:f>
        <x:v>1220</x:v>
      </x:c>
      <x:c r="L1049" s="73" t="str">
        <x:f>INDEX(TrackMap!$F$8:$F$141,H1049)</x:f>
        <x:v>↓</x:v>
      </x:c>
      <x:c r="M1049" s="87" t="n">
        <x:f>MAX(0,G1049/Control!$B$17)</x:f>
        <x:v>0.8684707493865966</x:v>
      </x:c>
      <x:c r="N1049" s="73" t="n">
        <x:f>IF(N1043&gt;0,N1043,IF(G1049&gt;=Control!$B$17,A1049,0))</x:f>
        <x:v>0</x:v>
      </x:c>
      <x:c r="O1049" s="91" t="n">
        <x:f>IF(N1049&gt;0,Control!$B$17+Control!$B$8+1-N1049,G1049)-B1049/100000</x:f>
        <x:v>581.8753620890197</x:v>
      </x:c>
      <x:c r="P1049" s="73" t="n">
        <x:f>COUNTIF($O$1046:$O$1051,"&gt;"&amp;O1049)+1</x:f>
        <x:v>5</x:v>
      </x:c>
      <x:c r="Q1049" s="83" t="n">
        <x:f>MAX($G$1046:$G$1051)-G1049</x:f>
        <x:v>14.180553910137974</x:v>
      </x:c>
      <x:c r="R1049" s="73" t="str">
        <x:f>INDEX(TrackMap!$B$8:$B$141,H1049)</x:f>
        <x:v>中段下行弯</x:v>
      </x:c>
    </x:row>
    <x:row r="1050" ht="20" customHeight="1">
      <x:c r="A1050" s="73" t="n">
        <x:v>173</x:v>
      </x:c>
      <x:c r="B1050" s="73" t="n">
        <x:v>5</x:v>
      </x:c>
      <x:c r="C1050" s="73" t="str">
        <x:f>INDEX(Drivers!$B$8:$B$13,B1050)</x:f>
        <x:v>青锋</x:v>
      </x:c>
      <x:c r="D1050" s="83" t="n">
        <x:f>G1044</x:f>
        <x:v>583.9828400392944</x:v>
      </x:c>
      <x:c r="E1050" s="83" t="str">
        <x:f>IF(A1050=0,"GRID",IF(D1050&gt;=Control!$B$17,"FINISHED",IF(AND(A1050&gt;=INDEX(Drivers!$G$8:$G$13,B1050),A1050&lt;INDEX(Drivers!$G$8:$G$13,B1050)+INDEX(Drivers!$J$8:$J$13,B1050)),"PIT",IF(MOD(A1050+INDEX(Drivers!$F$8:$F$13,B1050),Control!$B$11)&lt;Control!$B$13,"BOOST","RACE"))))</x:f>
        <x:v>RACE</x:v>
      </x:c>
      <x:c r="F1050" s="83" t="n">
        <x:f>IF(OR(E1050="GRID",E1050="FINISHED",E1050="PIT"),0,MAX(Control!$B$15,(INDEX(Drivers!$D$8:$D$13,B1050)+INDEX(Drivers!$E$8:$E$13,B1050)*SIN((A1050+INDEX(Drivers!$F$8:$F$13,B1050)+Control!$B$16)*Control!$B$14))*INDEX(TrackMap!$M$8:$M$141,MOD(INT(D1050)-1,Control!$B$7)+1)*IF(E1050="BOOST",Control!$B$12,1)))</x:f>
        <x:v>4.149934809506385</x:v>
      </x:c>
      <x:c r="G1050" s="83" t="n">
        <x:f>IF(A1050=0,D1050,MIN(Control!$B$17,D1050+F1050))</x:f>
        <x:v>588.1327748488008</x:v>
      </x:c>
      <x:c r="H1050" s="73" t="n">
        <x:f>MOD(INT(G1050)-1,Control!$B$7)+1</x:f>
        <x:v>52</x:v>
      </x:c>
      <x:c r="I1050" s="73" t="n">
        <x:f>MIN(Control!$B$6,MAX(1,INT(MAX(0,G1050)/Control!$B$7)+1))</x:f>
        <x:v>5</x:v>
      </x:c>
      <x:c r="J1050" s="73" t="n">
        <x:f>INDEX(Drivers!$H$8:$H$13,B1050)</x:f>
        <x:v>1</x:v>
      </x:c>
      <x:c r="K1050" s="73" t="n">
        <x:f>IF(J1050=1,INDEX(TrackMap!$I$8:$I$141,H1050),INDEX(TrackMap!$L$8:$L$141,H1050))</x:f>
        <x:v>1625</x:v>
      </x:c>
      <x:c r="L1050" s="73" t="str">
        <x:f>INDEX(TrackMap!$F$8:$F$141,H1050)</x:f>
        <x:v>→</x:v>
      </x:c>
      <x:c r="M1050" s="87" t="n">
        <x:f>MAX(0,G1050/Control!$B$17)</x:f>
        <x:v>0.877810111714628</x:v>
      </x:c>
      <x:c r="N1050" s="73" t="n">
        <x:f>IF(N1044&gt;0,N1044,IF(G1050&gt;=Control!$B$17,A1050,0))</x:f>
        <x:v>0</x:v>
      </x:c>
      <x:c r="O1050" s="91" t="n">
        <x:f>IF(N1050&gt;0,Control!$B$17+Control!$B$8+1-N1050,G1050)-B1050/100000</x:f>
        <x:v>588.1327248488008</x:v>
      </x:c>
      <x:c r="P1050" s="73" t="n">
        <x:f>COUNTIF($O$1046:$O$1051,"&gt;"&amp;O1050)+1</x:f>
        <x:v>4</x:v>
      </x:c>
      <x:c r="Q1050" s="83" t="n">
        <x:f>MAX($G$1046:$G$1051)-G1050</x:f>
        <x:v>7.923181150356982</x:v>
      </x:c>
      <x:c r="R1050" s="73" t="str">
        <x:f>INDEX(TrackMap!$B$8:$B$141,H1050)</x:f>
        <x:v>中央高速直道</x:v>
      </x:c>
    </x:row>
    <x:row r="1051" ht="20" customHeight="1">
      <x:c r="A1051" s="73" t="n">
        <x:v>173</x:v>
      </x:c>
      <x:c r="B1051" s="73" t="n">
        <x:v>6</x:v>
      </x:c>
      <x:c r="C1051" s="73" t="str">
        <x:f>INDEX(Drivers!$B$8:$B$13,B1051)</x:f>
        <x:v>玫速</x:v>
      </x:c>
      <x:c r="D1051" s="83" t="n">
        <x:f>G1045</x:f>
        <x:v>584.8129353489569</x:v>
      </x:c>
      <x:c r="E1051" s="83" t="str">
        <x:f>IF(A1051=0,"GRID",IF(D1051&gt;=Control!$B$17,"FINISHED",IF(AND(A1051&gt;=INDEX(Drivers!$G$8:$G$13,B1051),A1051&lt;INDEX(Drivers!$G$8:$G$13,B1051)+INDEX(Drivers!$J$8:$J$13,B1051)),"PIT",IF(MOD(A1051+INDEX(Drivers!$F$8:$F$13,B1051),Control!$B$11)&lt;Control!$B$13,"BOOST","RACE"))))</x:f>
        <x:v>BOOST</x:v>
      </x:c>
      <x:c r="F1051" s="83" t="n">
        <x:f>IF(OR(E1051="GRID",E1051="FINISHED",E1051="PIT"),0,MAX(Control!$B$15,(INDEX(Drivers!$D$8:$D$13,B1051)+INDEX(Drivers!$E$8:$E$13,B1051)*SIN((A1051+INDEX(Drivers!$F$8:$F$13,B1051)+Control!$B$16)*Control!$B$14))*INDEX(TrackMap!$M$8:$M$141,MOD(INT(D1051)-1,Control!$B$7)+1)*IF(E1051="BOOST",Control!$B$12,1)))</x:f>
        <x:v>4.284937961795412</x:v>
      </x:c>
      <x:c r="G1051" s="83" t="n">
        <x:f>IF(A1051=0,D1051,MIN(Control!$B$17,D1051+F1051))</x:f>
        <x:v>589.0978733107523</x:v>
      </x:c>
      <x:c r="H1051" s="73" t="n">
        <x:f>MOD(INT(G1051)-1,Control!$B$7)+1</x:f>
        <x:v>53</x:v>
      </x:c>
      <x:c r="I1051" s="73" t="n">
        <x:f>MIN(Control!$B$6,MAX(1,INT(MAX(0,G1051)/Control!$B$7)+1))</x:f>
        <x:v>5</x:v>
      </x:c>
      <x:c r="J1051" s="73" t="n">
        <x:f>INDEX(Drivers!$H$8:$H$13,B1051)</x:f>
        <x:v>2</x:v>
      </x:c>
      <x:c r="K1051" s="73" t="n">
        <x:f>IF(J1051=1,INDEX(TrackMap!$I$8:$I$141,H1051),INDEX(TrackMap!$L$8:$L$141,H1051))</x:f>
        <x:v>1526</x:v>
      </x:c>
      <x:c r="L1051" s="73" t="str">
        <x:f>INDEX(TrackMap!$F$8:$F$141,H1051)</x:f>
        <x:v>→</x:v>
      </x:c>
      <x:c r="M1051" s="87" t="n">
        <x:f>MAX(0,G1051/Control!$B$17)</x:f>
        <x:v>0.8792505571802274</x:v>
      </x:c>
      <x:c r="N1051" s="73" t="n">
        <x:f>IF(N1045&gt;0,N1045,IF(G1051&gt;=Control!$B$17,A1051,0))</x:f>
        <x:v>0</x:v>
      </x:c>
      <x:c r="O1051" s="91" t="n">
        <x:f>IF(N1051&gt;0,Control!$B$17+Control!$B$8+1-N1051,G1051)-B1051/100000</x:f>
        <x:v>589.0978133107524</x:v>
      </x:c>
      <x:c r="P1051" s="73" t="n">
        <x:f>COUNTIF($O$1046:$O$1051,"&gt;"&amp;O1051)+1</x:f>
        <x:v>3</x:v>
      </x:c>
      <x:c r="Q1051" s="83" t="n">
        <x:f>MAX($G$1046:$G$1051)-G1051</x:f>
        <x:v>6.958082688405398</x:v>
      </x:c>
      <x:c r="R1051" s="73" t="str">
        <x:f>INDEX(TrackMap!$B$8:$B$141,H1051)</x:f>
        <x:v>中央高速直道</x:v>
      </x:c>
    </x:row>
    <x:row r="1052" ht="20" customHeight="1">
      <x:c r="A1052" s="73" t="n">
        <x:v>174</x:v>
      </x:c>
      <x:c r="B1052" s="73" t="n">
        <x:v>1</x:v>
      </x:c>
      <x:c r="C1052" s="73" t="str">
        <x:f>INDEX(Drivers!$B$8:$B$13,B1052)</x:f>
        <x:v>赤焰</x:v>
      </x:c>
      <x:c r="D1052" s="83" t="n">
        <x:f>G1046</x:f>
        <x:v>594.1610236136321</x:v>
      </x:c>
      <x:c r="E1052" s="83" t="str">
        <x:f>IF(A1052=0,"GRID",IF(D1052&gt;=Control!$B$17,"FINISHED",IF(AND(A1052&gt;=INDEX(Drivers!$G$8:$G$13,B1052),A1052&lt;INDEX(Drivers!$G$8:$G$13,B1052)+INDEX(Drivers!$J$8:$J$13,B1052)),"PIT",IF(MOD(A1052+INDEX(Drivers!$F$8:$F$13,B1052),Control!$B$11)&lt;Control!$B$13,"BOOST","RACE"))))</x:f>
        <x:v>RACE</x:v>
      </x:c>
      <x:c r="F1052" s="83" t="n">
        <x:f>IF(OR(E1052="GRID",E1052="FINISHED",E1052="PIT"),0,MAX(Control!$B$15,(INDEX(Drivers!$D$8:$D$13,B1052)+INDEX(Drivers!$E$8:$E$13,B1052)*SIN((A1052+INDEX(Drivers!$F$8:$F$13,B1052)+Control!$B$16)*Control!$B$14))*INDEX(TrackMap!$M$8:$M$141,MOD(INT(D1052)-1,Control!$B$7)+1)*IF(E1052="BOOST",Control!$B$12,1)))</x:f>
        <x:v>3.886732781291231</x:v>
      </x:c>
      <x:c r="G1052" s="83" t="n">
        <x:f>IF(A1052=0,D1052,MIN(Control!$B$17,D1052+F1052))</x:f>
        <x:v>598.0477563949233</x:v>
      </x:c>
      <x:c r="H1052" s="73" t="n">
        <x:f>MOD(INT(G1052)-1,Control!$B$7)+1</x:f>
        <x:v>62</x:v>
      </x:c>
      <x:c r="I1052" s="73" t="n">
        <x:f>MIN(Control!$B$6,MAX(1,INT(MAX(0,G1052)/Control!$B$7)+1))</x:f>
        <x:v>5</x:v>
      </x:c>
      <x:c r="J1052" s="73" t="n">
        <x:f>INDEX(Drivers!$H$8:$H$13,B1052)</x:f>
        <x:v>1</x:v>
      </x:c>
      <x:c r="K1052" s="73" t="n">
        <x:f>IF(J1052=1,INDEX(TrackMap!$I$8:$I$141,H1052),INDEX(TrackMap!$L$8:$L$141,H1052))</x:f>
        <x:v>1635</x:v>
      </x:c>
      <x:c r="L1052" s="73" t="str">
        <x:f>INDEX(TrackMap!$F$8:$F$141,H1052)</x:f>
        <x:v>→</x:v>
      </x:c>
      <x:c r="M1052" s="87" t="n">
        <x:f>MAX(0,G1052/Control!$B$17)</x:f>
        <x:v>0.8926085916342139</x:v>
      </x:c>
      <x:c r="N1052" s="73" t="n">
        <x:f>IF(N1046&gt;0,N1046,IF(G1052&gt;=Control!$B$17,A1052,0))</x:f>
        <x:v>0</x:v>
      </x:c>
      <x:c r="O1052" s="91" t="n">
        <x:f>IF(N1052&gt;0,Control!$B$17+Control!$B$8+1-N1052,G1052)-B1052/100000</x:f>
        <x:v>598.0477463949234</x:v>
      </x:c>
      <x:c r="P1052" s="73" t="n">
        <x:f>COUNTIF($O$1052:$O$1057,"&gt;"&amp;O1052)+1</x:f>
        <x:v>2</x:v>
      </x:c>
      <x:c r="Q1052" s="83" t="n">
        <x:f>MAX($G$1052:$G$1057)-G1052</x:f>
        <x:v>1.402343298588221</x:v>
      </x:c>
      <x:c r="R1052" s="73" t="str">
        <x:f>INDEX(TrackMap!$B$8:$B$141,H1052)</x:f>
        <x:v>中央高速直道</x:v>
      </x:c>
    </x:row>
    <x:row r="1053" ht="20" customHeight="1">
      <x:c r="A1053" s="73" t="n">
        <x:v>174</x:v>
      </x:c>
      <x:c r="B1053" s="73" t="n">
        <x:v>2</x:v>
      </x:c>
      <x:c r="C1053" s="73" t="str">
        <x:f>INDEX(Drivers!$B$8:$B$13,B1053)</x:f>
        <x:v>蓝电</x:v>
      </x:c>
      <x:c r="D1053" s="83" t="n">
        <x:f>G1047</x:f>
        <x:v>576.3663881313568</x:v>
      </x:c>
      <x:c r="E1053" s="83" t="str">
        <x:f>IF(A1053=0,"GRID",IF(D1053&gt;=Control!$B$17,"FINISHED",IF(AND(A1053&gt;=INDEX(Drivers!$G$8:$G$13,B1053),A1053&lt;INDEX(Drivers!$G$8:$G$13,B1053)+INDEX(Drivers!$J$8:$J$13,B1053)),"PIT",IF(MOD(A1053+INDEX(Drivers!$F$8:$F$13,B1053),Control!$B$11)&lt;Control!$B$13,"BOOST","RACE"))))</x:f>
        <x:v>RACE</x:v>
      </x:c>
      <x:c r="F1053" s="83" t="n">
        <x:f>IF(OR(E1053="GRID",E1053="FINISHED",E1053="PIT"),0,MAX(Control!$B$15,(INDEX(Drivers!$D$8:$D$13,B1053)+INDEX(Drivers!$E$8:$E$13,B1053)*SIN((A1053+INDEX(Drivers!$F$8:$F$13,B1053)+Control!$B$16)*Control!$B$14))*INDEX(TrackMap!$M$8:$M$141,MOD(INT(D1053)-1,Control!$B$7)+1)*IF(E1053="BOOST",Control!$B$12,1)))</x:f>
        <x:v>2.842208808718309</x:v>
      </x:c>
      <x:c r="G1053" s="83" t="n">
        <x:f>IF(A1053=0,D1053,MIN(Control!$B$17,D1053+F1053))</x:f>
        <x:v>579.208596940075</x:v>
      </x:c>
      <x:c r="H1053" s="73" t="n">
        <x:f>MOD(INT(G1053)-1,Control!$B$7)+1</x:f>
        <x:v>43</x:v>
      </x:c>
      <x:c r="I1053" s="73" t="n">
        <x:f>MIN(Control!$B$6,MAX(1,INT(MAX(0,G1053)/Control!$B$7)+1))</x:f>
        <x:v>5</x:v>
      </x:c>
      <x:c r="J1053" s="73" t="n">
        <x:f>INDEX(Drivers!$H$8:$H$13,B1053)</x:f>
        <x:v>2</x:v>
      </x:c>
      <x:c r="K1053" s="73" t="n">
        <x:f>IF(J1053=1,INDEX(TrackMap!$I$8:$I$141,H1053),INDEX(TrackMap!$L$8:$L$141,H1053))</x:f>
        <x:v>1019</x:v>
      </x:c>
      <x:c r="L1053" s="73" t="str">
        <x:f>INDEX(TrackMap!$F$8:$F$141,H1053)</x:f>
        <x:v>↓</x:v>
      </x:c>
      <x:c r="M1053" s="87" t="n">
        <x:f>MAX(0,G1053/Control!$B$17)</x:f>
        <x:v>0.8644904431941418</x:v>
      </x:c>
      <x:c r="N1053" s="73" t="n">
        <x:f>IF(N1047&gt;0,N1047,IF(G1053&gt;=Control!$B$17,A1053,0))</x:f>
        <x:v>0</x:v>
      </x:c>
      <x:c r="O1053" s="91" t="n">
        <x:f>IF(N1053&gt;0,Control!$B$17+Control!$B$8+1-N1053,G1053)-B1053/100000</x:f>
        <x:v>579.2085769400751</x:v>
      </x:c>
      <x:c r="P1053" s="73" t="n">
        <x:f>COUNTIF($O$1052:$O$1057,"&gt;"&amp;O1053)+1</x:f>
        <x:v>6</x:v>
      </x:c>
      <x:c r="Q1053" s="83" t="n">
        <x:f>MAX($G$1052:$G$1057)-G1053</x:f>
        <x:v>20.24150275343652</x:v>
      </x:c>
      <x:c r="R1053" s="73" t="str">
        <x:f>INDEX(TrackMap!$B$8:$B$141,H1053)</x:f>
        <x:v>西侧发卡弯</x:v>
      </x:c>
    </x:row>
    <x:row r="1054" ht="20" customHeight="1">
      <x:c r="A1054" s="73" t="n">
        <x:v>174</x:v>
      </x:c>
      <x:c r="B1054" s="73" t="n">
        <x:v>3</x:v>
      </x:c>
      <x:c r="C1054" s="73" t="str">
        <x:f>INDEX(Drivers!$B$8:$B$13,B1054)</x:f>
        <x:v>金翼</x:v>
      </x:c>
      <x:c r="D1054" s="83" t="n">
        <x:f>G1048</x:f>
        <x:v>596.0559559991577</x:v>
      </x:c>
      <x:c r="E1054" s="83" t="str">
        <x:f>IF(A1054=0,"GRID",IF(D1054&gt;=Control!$B$17,"FINISHED",IF(AND(A1054&gt;=INDEX(Drivers!$G$8:$G$13,B1054),A1054&lt;INDEX(Drivers!$G$8:$G$13,B1054)+INDEX(Drivers!$J$8:$J$13,B1054)),"PIT",IF(MOD(A1054+INDEX(Drivers!$F$8:$F$13,B1054),Control!$B$11)&lt;Control!$B$13,"BOOST","RACE"))))</x:f>
        <x:v>RACE</x:v>
      </x:c>
      <x:c r="F1054" s="83" t="n">
        <x:f>IF(OR(E1054="GRID",E1054="FINISHED",E1054="PIT"),0,MAX(Control!$B$15,(INDEX(Drivers!$D$8:$D$13,B1054)+INDEX(Drivers!$E$8:$E$13,B1054)*SIN((A1054+INDEX(Drivers!$F$8:$F$13,B1054)+Control!$B$16)*Control!$B$14))*INDEX(TrackMap!$M$8:$M$141,MOD(INT(D1054)-1,Control!$B$7)+1)*IF(E1054="BOOST",Control!$B$12,1)))</x:f>
        <x:v>3.394143694353789</x:v>
      </x:c>
      <x:c r="G1054" s="83" t="n">
        <x:f>IF(A1054=0,D1054,MIN(Control!$B$17,D1054+F1054))</x:f>
        <x:v>599.4500996935116</x:v>
      </x:c>
      <x:c r="H1054" s="73" t="n">
        <x:f>MOD(INT(G1054)-1,Control!$B$7)+1</x:f>
        <x:v>63</x:v>
      </x:c>
      <x:c r="I1054" s="73" t="n">
        <x:f>MIN(Control!$B$6,MAX(1,INT(MAX(0,G1054)/Control!$B$7)+1))</x:f>
        <x:v>5</x:v>
      </x:c>
      <x:c r="J1054" s="73" t="n">
        <x:f>INDEX(Drivers!$H$8:$H$13,B1054)</x:f>
        <x:v>1</x:v>
      </x:c>
      <x:c r="K1054" s="73" t="n">
        <x:f>IF(J1054=1,INDEX(TrackMap!$I$8:$I$141,H1054),INDEX(TrackMap!$L$8:$L$141,H1054))</x:f>
        <x:v>1636</x:v>
      </x:c>
      <x:c r="L1054" s="73" t="str">
        <x:f>INDEX(TrackMap!$F$8:$F$141,H1054)</x:f>
        <x:v>→</x:v>
      </x:c>
      <x:c r="M1054" s="87" t="n">
        <x:f>MAX(0,G1054/Control!$B$17)</x:f>
        <x:v>0.8947016413335993</x:v>
      </x:c>
      <x:c r="N1054" s="73" t="n">
        <x:f>IF(N1048&gt;0,N1048,IF(G1054&gt;=Control!$B$17,A1054,0))</x:f>
        <x:v>0</x:v>
      </x:c>
      <x:c r="O1054" s="91" t="n">
        <x:f>IF(N1054&gt;0,Control!$B$17+Control!$B$8+1-N1054,G1054)-B1054/100000</x:f>
        <x:v>599.4500696935115</x:v>
      </x:c>
      <x:c r="P1054" s="73" t="n">
        <x:f>COUNTIF($O$1052:$O$1057,"&gt;"&amp;O1054)+1</x:f>
        <x:v>1</x:v>
      </x:c>
      <x:c r="Q1054" s="83" t="n">
        <x:f>MAX($G$1052:$G$1057)-G1054</x:f>
        <x:v>0</x:v>
      </x:c>
      <x:c r="R1054" s="73" t="str">
        <x:f>INDEX(TrackMap!$B$8:$B$141,H1054)</x:f>
        <x:v>中央高速直道</x:v>
      </x:c>
    </x:row>
    <x:row r="1055" ht="20" customHeight="1">
      <x:c r="A1055" s="73" t="n">
        <x:v>174</x:v>
      </x:c>
      <x:c r="B1055" s="73" t="n">
        <x:v>4</x:v>
      </x:c>
      <x:c r="C1055" s="73" t="str">
        <x:f>INDEX(Drivers!$B$8:$B$13,B1055)</x:f>
        <x:v>紫影</x:v>
      </x:c>
      <x:c r="D1055" s="83" t="n">
        <x:f>G1049</x:f>
        <x:v>581.8754020890198</x:v>
      </x:c>
      <x:c r="E1055" s="83" t="str">
        <x:f>IF(A1055=0,"GRID",IF(D1055&gt;=Control!$B$17,"FINISHED",IF(AND(A1055&gt;=INDEX(Drivers!$G$8:$G$13,B1055),A1055&lt;INDEX(Drivers!$G$8:$G$13,B1055)+INDEX(Drivers!$J$8:$J$13,B1055)),"PIT",IF(MOD(A1055+INDEX(Drivers!$F$8:$F$13,B1055),Control!$B$11)&lt;Control!$B$13,"BOOST","RACE"))))</x:f>
        <x:v>RACE</x:v>
      </x:c>
      <x:c r="F1055" s="83" t="n">
        <x:f>IF(OR(E1055="GRID",E1055="FINISHED",E1055="PIT"),0,MAX(Control!$B$15,(INDEX(Drivers!$D$8:$D$13,B1055)+INDEX(Drivers!$E$8:$E$13,B1055)*SIN((A1055+INDEX(Drivers!$F$8:$F$13,B1055)+Control!$B$16)*Control!$B$14))*INDEX(TrackMap!$M$8:$M$141,MOD(INT(D1055)-1,Control!$B$7)+1)*IF(E1055="BOOST",Control!$B$12,1)))</x:f>
        <x:v>3.2312433403236844</x:v>
      </x:c>
      <x:c r="G1055" s="83" t="n">
        <x:f>IF(A1055=0,D1055,MIN(Control!$B$17,D1055+F1055))</x:f>
        <x:v>585.1066454293434</x:v>
      </x:c>
      <x:c r="H1055" s="73" t="n">
        <x:f>MOD(INT(G1055)-1,Control!$B$7)+1</x:f>
        <x:v>49</x:v>
      </x:c>
      <x:c r="I1055" s="73" t="n">
        <x:f>MIN(Control!$B$6,MAX(1,INT(MAX(0,G1055)/Control!$B$7)+1))</x:f>
        <x:v>5</x:v>
      </x:c>
      <x:c r="J1055" s="73" t="n">
        <x:f>INDEX(Drivers!$H$8:$H$13,B1055)</x:f>
        <x:v>2</x:v>
      </x:c>
      <x:c r="K1055" s="73" t="n">
        <x:f>IF(J1055=1,INDEX(TrackMap!$I$8:$I$141,H1055),INDEX(TrackMap!$L$8:$L$141,H1055))</x:f>
        <x:v>1522</x:v>
      </x:c>
      <x:c r="L1055" s="73" t="str">
        <x:f>INDEX(TrackMap!$F$8:$F$141,H1055)</x:f>
        <x:v>→</x:v>
      </x:c>
      <x:c r="M1055" s="87" t="n">
        <x:f>MAX(0,G1055/Control!$B$17)</x:f>
        <x:v>0.873293500640811</x:v>
      </x:c>
      <x:c r="N1055" s="73" t="n">
        <x:f>IF(N1049&gt;0,N1049,IF(G1055&gt;=Control!$B$17,A1055,0))</x:f>
        <x:v>0</x:v>
      </x:c>
      <x:c r="O1055" s="91" t="n">
        <x:f>IF(N1055&gt;0,Control!$B$17+Control!$B$8+1-N1055,G1055)-B1055/100000</x:f>
        <x:v>585.1066054293434</x:v>
      </x:c>
      <x:c r="P1055" s="73" t="n">
        <x:f>COUNTIF($O$1052:$O$1057,"&gt;"&amp;O1055)+1</x:f>
        <x:v>5</x:v>
      </x:c>
      <x:c r="Q1055" s="83" t="n">
        <x:f>MAX($G$1052:$G$1057)-G1055</x:f>
        <x:v>14.343454264168145</x:v>
      </x:c>
      <x:c r="R1055" s="73" t="str">
        <x:f>INDEX(TrackMap!$B$8:$B$141,H1055)</x:f>
        <x:v>中央高速直道</x:v>
      </x:c>
    </x:row>
    <x:row r="1056" ht="20" customHeight="1">
      <x:c r="A1056" s="73" t="n">
        <x:v>174</x:v>
      </x:c>
      <x:c r="B1056" s="73" t="n">
        <x:v>5</x:v>
      </x:c>
      <x:c r="C1056" s="73" t="str">
        <x:f>INDEX(Drivers!$B$8:$B$13,B1056)</x:f>
        <x:v>青锋</x:v>
      </x:c>
      <x:c r="D1056" s="83" t="n">
        <x:f>G1050</x:f>
        <x:v>588.1327748488008</x:v>
      </x:c>
      <x:c r="E1056" s="83" t="str">
        <x:f>IF(A1056=0,"GRID",IF(D1056&gt;=Control!$B$17,"FINISHED",IF(AND(A1056&gt;=INDEX(Drivers!$G$8:$G$13,B1056),A1056&lt;INDEX(Drivers!$G$8:$G$13,B1056)+INDEX(Drivers!$J$8:$J$13,B1056)),"PIT",IF(MOD(A1056+INDEX(Drivers!$F$8:$F$13,B1056),Control!$B$11)&lt;Control!$B$13,"BOOST","RACE"))))</x:f>
        <x:v>RACE</x:v>
      </x:c>
      <x:c r="F1056" s="83" t="n">
        <x:f>IF(OR(E1056="GRID",E1056="FINISHED",E1056="PIT"),0,MAX(Control!$B$15,(INDEX(Drivers!$D$8:$D$13,B1056)+INDEX(Drivers!$E$8:$E$13,B1056)*SIN((A1056+INDEX(Drivers!$F$8:$F$13,B1056)+Control!$B$16)*Control!$B$14))*INDEX(TrackMap!$M$8:$M$141,MOD(INT(D1056)-1,Control!$B$7)+1)*IF(E1056="BOOST",Control!$B$12,1)))</x:f>
        <x:v>4.117726874868633</x:v>
      </x:c>
      <x:c r="G1056" s="83" t="n">
        <x:f>IF(A1056=0,D1056,MIN(Control!$B$17,D1056+F1056))</x:f>
        <x:v>592.2505017236693</x:v>
      </x:c>
      <x:c r="H1056" s="73" t="n">
        <x:f>MOD(INT(G1056)-1,Control!$B$7)+1</x:f>
        <x:v>56</x:v>
      </x:c>
      <x:c r="I1056" s="73" t="n">
        <x:f>MIN(Control!$B$6,MAX(1,INT(MAX(0,G1056)/Control!$B$7)+1))</x:f>
        <x:v>5</x:v>
      </x:c>
      <x:c r="J1056" s="73" t="n">
        <x:f>INDEX(Drivers!$H$8:$H$13,B1056)</x:f>
        <x:v>1</x:v>
      </x:c>
      <x:c r="K1056" s="73" t="n">
        <x:f>IF(J1056=1,INDEX(TrackMap!$I$8:$I$141,H1056),INDEX(TrackMap!$L$8:$L$141,H1056))</x:f>
        <x:v>1629</x:v>
      </x:c>
      <x:c r="L1056" s="73" t="str">
        <x:f>INDEX(TrackMap!$F$8:$F$141,H1056)</x:f>
        <x:v>→</x:v>
      </x:c>
      <x:c r="M1056" s="87" t="n">
        <x:f>MAX(0,G1056/Control!$B$17)</x:f>
        <x:v>0.8839559727218945</x:v>
      </x:c>
      <x:c r="N1056" s="73" t="n">
        <x:f>IF(N1050&gt;0,N1050,IF(G1056&gt;=Control!$B$17,A1056,0))</x:f>
        <x:v>0</x:v>
      </x:c>
      <x:c r="O1056" s="91" t="n">
        <x:f>IF(N1056&gt;0,Control!$B$17+Control!$B$8+1-N1056,G1056)-B1056/100000</x:f>
        <x:v>592.2504517236694</x:v>
      </x:c>
      <x:c r="P1056" s="73" t="n">
        <x:f>COUNTIF($O$1052:$O$1057,"&gt;"&amp;O1056)+1</x:f>
        <x:v>4</x:v>
      </x:c>
      <x:c r="Q1056" s="83" t="n">
        <x:f>MAX($G$1052:$G$1057)-G1056</x:f>
        <x:v>7.199597969842216</x:v>
      </x:c>
      <x:c r="R1056" s="73" t="str">
        <x:f>INDEX(TrackMap!$B$8:$B$141,H1056)</x:f>
        <x:v>中央高速直道</x:v>
      </x:c>
    </x:row>
    <x:row r="1057" ht="20" customHeight="1">
      <x:c r="A1057" s="73" t="n">
        <x:v>174</x:v>
      </x:c>
      <x:c r="B1057" s="73" t="n">
        <x:v>6</x:v>
      </x:c>
      <x:c r="C1057" s="73" t="str">
        <x:f>INDEX(Drivers!$B$8:$B$13,B1057)</x:f>
        <x:v>玫速</x:v>
      </x:c>
      <x:c r="D1057" s="83" t="n">
        <x:f>G1051</x:f>
        <x:v>589.0978733107523</x:v>
      </x:c>
      <x:c r="E1057" s="83" t="str">
        <x:f>IF(A1057=0,"GRID",IF(D1057&gt;=Control!$B$17,"FINISHED",IF(AND(A1057&gt;=INDEX(Drivers!$G$8:$G$13,B1057),A1057&lt;INDEX(Drivers!$G$8:$G$13,B1057)+INDEX(Drivers!$J$8:$J$13,B1057)),"PIT",IF(MOD(A1057+INDEX(Drivers!$F$8:$F$13,B1057),Control!$B$11)&lt;Control!$B$13,"BOOST","RACE"))))</x:f>
        <x:v>BOOST</x:v>
      </x:c>
      <x:c r="F1057" s="83" t="n">
        <x:f>IF(OR(E1057="GRID",E1057="FINISHED",E1057="PIT"),0,MAX(Control!$B$15,(INDEX(Drivers!$D$8:$D$13,B1057)+INDEX(Drivers!$E$8:$E$13,B1057)*SIN((A1057+INDEX(Drivers!$F$8:$F$13,B1057)+Control!$B$16)*Control!$B$14))*INDEX(TrackMap!$M$8:$M$141,MOD(INT(D1057)-1,Control!$B$7)+1)*IF(E1057="BOOST",Control!$B$12,1)))</x:f>
        <x:v>4.173734704573553</x:v>
      </x:c>
      <x:c r="G1057" s="83" t="n">
        <x:f>IF(A1057=0,D1057,MIN(Control!$B$17,D1057+F1057))</x:f>
        <x:v>593.2716080153259</x:v>
      </x:c>
      <x:c r="H1057" s="73" t="n">
        <x:f>MOD(INT(G1057)-1,Control!$B$7)+1</x:f>
        <x:v>57</x:v>
      </x:c>
      <x:c r="I1057" s="73" t="n">
        <x:f>MIN(Control!$B$6,MAX(1,INT(MAX(0,G1057)/Control!$B$7)+1))</x:f>
        <x:v>5</x:v>
      </x:c>
      <x:c r="J1057" s="73" t="n">
        <x:f>INDEX(Drivers!$H$8:$H$13,B1057)</x:f>
        <x:v>2</x:v>
      </x:c>
      <x:c r="K1057" s="73" t="n">
        <x:f>IF(J1057=1,INDEX(TrackMap!$I$8:$I$141,H1057),INDEX(TrackMap!$L$8:$L$141,H1057))</x:f>
        <x:v>1530</x:v>
      </x:c>
      <x:c r="L1057" s="73" t="str">
        <x:f>INDEX(TrackMap!$F$8:$F$141,H1057)</x:f>
        <x:v>→</x:v>
      </x:c>
      <x:c r="M1057" s="87" t="n">
        <x:f>MAX(0,G1057/Control!$B$17)</x:f>
        <x:v>0.885480011963173</x:v>
      </x:c>
      <x:c r="N1057" s="73" t="n">
        <x:f>IF(N1051&gt;0,N1051,IF(G1057&gt;=Control!$B$17,A1057,0))</x:f>
        <x:v>0</x:v>
      </x:c>
      <x:c r="O1057" s="91" t="n">
        <x:f>IF(N1057&gt;0,Control!$B$17+Control!$B$8+1-N1057,G1057)-B1057/100000</x:f>
        <x:v>593.271548015326</x:v>
      </x:c>
      <x:c r="P1057" s="73" t="n">
        <x:f>COUNTIF($O$1052:$O$1057,"&gt;"&amp;O1057)+1</x:f>
        <x:v>3</x:v>
      </x:c>
      <x:c r="Q1057" s="83" t="n">
        <x:f>MAX($G$1052:$G$1057)-G1057</x:f>
        <x:v>6.178491678185651</x:v>
      </x:c>
      <x:c r="R1057" s="73" t="str">
        <x:f>INDEX(TrackMap!$B$8:$B$141,H1057)</x:f>
        <x:v>中央高速直道</x:v>
      </x:c>
    </x:row>
    <x:row r="1058" ht="20" customHeight="1">
      <x:c r="A1058" s="73" t="n">
        <x:v>175</x:v>
      </x:c>
      <x:c r="B1058" s="73" t="n">
        <x:v>1</x:v>
      </x:c>
      <x:c r="C1058" s="73" t="str">
        <x:f>INDEX(Drivers!$B$8:$B$13,B1058)</x:f>
        <x:v>赤焰</x:v>
      </x:c>
      <x:c r="D1058" s="83" t="n">
        <x:f>G1052</x:f>
        <x:v>598.0477563949233</x:v>
      </x:c>
      <x:c r="E1058" s="83" t="str">
        <x:f>IF(A1058=0,"GRID",IF(D1058&gt;=Control!$B$17,"FINISHED",IF(AND(A1058&gt;=INDEX(Drivers!$G$8:$G$13,B1058),A1058&lt;INDEX(Drivers!$G$8:$G$13,B1058)+INDEX(Drivers!$J$8:$J$13,B1058)),"PIT",IF(MOD(A1058+INDEX(Drivers!$F$8:$F$13,B1058),Control!$B$11)&lt;Control!$B$13,"BOOST","RACE"))))</x:f>
        <x:v>RACE</x:v>
      </x:c>
      <x:c r="F1058" s="83" t="n">
        <x:f>IF(OR(E1058="GRID",E1058="FINISHED",E1058="PIT"),0,MAX(Control!$B$15,(INDEX(Drivers!$D$8:$D$13,B1058)+INDEX(Drivers!$E$8:$E$13,B1058)*SIN((A1058+INDEX(Drivers!$F$8:$F$13,B1058)+Control!$B$16)*Control!$B$14))*INDEX(TrackMap!$M$8:$M$141,MOD(INT(D1058)-1,Control!$B$7)+1)*IF(E1058="BOOST",Control!$B$12,1)))</x:f>
        <x:v>4.050234601325552</x:v>
      </x:c>
      <x:c r="G1058" s="83" t="n">
        <x:f>IF(A1058=0,D1058,MIN(Control!$B$17,D1058+F1058))</x:f>
        <x:v>602.0979909962489</x:v>
      </x:c>
      <x:c r="H1058" s="73" t="n">
        <x:f>MOD(INT(G1058)-1,Control!$B$7)+1</x:f>
        <x:v>66</x:v>
      </x:c>
      <x:c r="I1058" s="73" t="n">
        <x:f>MIN(Control!$B$6,MAX(1,INT(MAX(0,G1058)/Control!$B$7)+1))</x:f>
        <x:v>5</x:v>
      </x:c>
      <x:c r="J1058" s="73" t="n">
        <x:f>INDEX(Drivers!$H$8:$H$13,B1058)</x:f>
        <x:v>1</x:v>
      </x:c>
      <x:c r="K1058" s="73" t="n">
        <x:f>IF(J1058=1,INDEX(TrackMap!$I$8:$I$141,H1058),INDEX(TrackMap!$L$8:$L$141,H1058))</x:f>
        <x:v>1639</x:v>
      </x:c>
      <x:c r="L1058" s="73" t="str">
        <x:f>INDEX(TrackMap!$F$8:$F$141,H1058)</x:f>
        <x:v>→</x:v>
      </x:c>
      <x:c r="M1058" s="87" t="n">
        <x:f>MAX(0,G1058/Control!$B$17)</x:f>
        <x:v>0.898653717904849</x:v>
      </x:c>
      <x:c r="N1058" s="73" t="n">
        <x:f>IF(N1052&gt;0,N1052,IF(G1058&gt;=Control!$B$17,A1058,0))</x:f>
        <x:v>0</x:v>
      </x:c>
      <x:c r="O1058" s="91" t="n">
        <x:f>IF(N1058&gt;0,Control!$B$17+Control!$B$8+1-N1058,G1058)-B1058/100000</x:f>
        <x:v>602.0979809962489</x:v>
      </x:c>
      <x:c r="P1058" s="73" t="n">
        <x:f>COUNTIF($O$1058:$O$1063,"&gt;"&amp;O1058)+1</x:f>
        <x:v>2</x:v>
      </x:c>
      <x:c r="Q1058" s="83" t="n">
        <x:f>MAX($G$1058:$G$1063)-G1058</x:f>
        <x:v>0.9099838807596825</x:v>
      </x:c>
      <x:c r="R1058" s="73" t="str">
        <x:f>INDEX(TrackMap!$B$8:$B$141,H1058)</x:f>
        <x:v>中央高速直道</x:v>
      </x:c>
    </x:row>
    <x:row r="1059" ht="20" customHeight="1">
      <x:c r="A1059" s="73" t="n">
        <x:v>175</x:v>
      </x:c>
      <x:c r="B1059" s="73" t="n">
        <x:v>2</x:v>
      </x:c>
      <x:c r="C1059" s="73" t="str">
        <x:f>INDEX(Drivers!$B$8:$B$13,B1059)</x:f>
        <x:v>蓝电</x:v>
      </x:c>
      <x:c r="D1059" s="83" t="n">
        <x:f>G1053</x:f>
        <x:v>579.208596940075</x:v>
      </x:c>
      <x:c r="E1059" s="83" t="str">
        <x:f>IF(A1059=0,"GRID",IF(D1059&gt;=Control!$B$17,"FINISHED",IF(AND(A1059&gt;=INDEX(Drivers!$G$8:$G$13,B1059),A1059&lt;INDEX(Drivers!$G$8:$G$13,B1059)+INDEX(Drivers!$J$8:$J$13,B1059)),"PIT",IF(MOD(A1059+INDEX(Drivers!$F$8:$F$13,B1059),Control!$B$11)&lt;Control!$B$13,"BOOST","RACE"))))</x:f>
        <x:v>RACE</x:v>
      </x:c>
      <x:c r="F1059" s="83" t="n">
        <x:f>IF(OR(E1059="GRID",E1059="FINISHED",E1059="PIT"),0,MAX(Control!$B$15,(INDEX(Drivers!$D$8:$D$13,B1059)+INDEX(Drivers!$E$8:$E$13,B1059)*SIN((A1059+INDEX(Drivers!$F$8:$F$13,B1059)+Control!$B$16)*Control!$B$14))*INDEX(TrackMap!$M$8:$M$141,MOD(INT(D1059)-1,Control!$B$7)+1)*IF(E1059="BOOST",Control!$B$12,1)))</x:f>
        <x:v>2.6705633027537328</x:v>
      </x:c>
      <x:c r="G1059" s="83" t="n">
        <x:f>IF(A1059=0,D1059,MIN(Control!$B$17,D1059+F1059))</x:f>
        <x:v>581.8791602428288</x:v>
      </x:c>
      <x:c r="H1059" s="73" t="n">
        <x:f>MOD(INT(G1059)-1,Control!$B$7)+1</x:f>
        <x:v>45</x:v>
      </x:c>
      <x:c r="I1059" s="73" t="n">
        <x:f>MIN(Control!$B$6,MAX(1,INT(MAX(0,G1059)/Control!$B$7)+1))</x:f>
        <x:v>5</x:v>
      </x:c>
      <x:c r="J1059" s="73" t="n">
        <x:f>INDEX(Drivers!$H$8:$H$13,B1059)</x:f>
        <x:v>2</x:v>
      </x:c>
      <x:c r="K1059" s="73" t="n">
        <x:f>IF(J1059=1,INDEX(TrackMap!$I$8:$I$141,H1059),INDEX(TrackMap!$L$8:$L$141,H1059))</x:f>
        <x:v>1220</x:v>
      </x:c>
      <x:c r="L1059" s="73" t="str">
        <x:f>INDEX(TrackMap!$F$8:$F$141,H1059)</x:f>
        <x:v>↓</x:v>
      </x:c>
      <x:c r="M1059" s="87" t="n">
        <x:f>MAX(0,G1059/Control!$B$17)</x:f>
        <x:v>0.8684763585713863</x:v>
      </x:c>
      <x:c r="N1059" s="73" t="n">
        <x:f>IF(N1053&gt;0,N1053,IF(G1059&gt;=Control!$B$17,A1059,0))</x:f>
        <x:v>0</x:v>
      </x:c>
      <x:c r="O1059" s="91" t="n">
        <x:f>IF(N1059&gt;0,Control!$B$17+Control!$B$8+1-N1059,G1059)-B1059/100000</x:f>
        <x:v>581.8791402428288</x:v>
      </x:c>
      <x:c r="P1059" s="73" t="n">
        <x:f>COUNTIF($O$1058:$O$1063,"&gt;"&amp;O1059)+1</x:f>
        <x:v>6</x:v>
      </x:c>
      <x:c r="Q1059" s="83" t="n">
        <x:f>MAX($G$1058:$G$1063)-G1059</x:f>
        <x:v>21.128814634179776</x:v>
      </x:c>
      <x:c r="R1059" s="73" t="str">
        <x:f>INDEX(TrackMap!$B$8:$B$141,H1059)</x:f>
        <x:v>中段下行弯</x:v>
      </x:c>
    </x:row>
    <x:row r="1060" ht="20" customHeight="1">
      <x:c r="A1060" s="73" t="n">
        <x:v>175</x:v>
      </x:c>
      <x:c r="B1060" s="73" t="n">
        <x:v>3</x:v>
      </x:c>
      <x:c r="C1060" s="73" t="str">
        <x:f>INDEX(Drivers!$B$8:$B$13,B1060)</x:f>
        <x:v>金翼</x:v>
      </x:c>
      <x:c r="D1060" s="83" t="n">
        <x:f>G1054</x:f>
        <x:v>599.4500996935116</x:v>
      </x:c>
      <x:c r="E1060" s="83" t="str">
        <x:f>IF(A1060=0,"GRID",IF(D1060&gt;=Control!$B$17,"FINISHED",IF(AND(A1060&gt;=INDEX(Drivers!$G$8:$G$13,B1060),A1060&lt;INDEX(Drivers!$G$8:$G$13,B1060)+INDEX(Drivers!$J$8:$J$13,B1060)),"PIT",IF(MOD(A1060+INDEX(Drivers!$F$8:$F$13,B1060),Control!$B$11)&lt;Control!$B$13,"BOOST","RACE"))))</x:f>
        <x:v>RACE</x:v>
      </x:c>
      <x:c r="F1060" s="83" t="n">
        <x:f>IF(OR(E1060="GRID",E1060="FINISHED",E1060="PIT"),0,MAX(Control!$B$15,(INDEX(Drivers!$D$8:$D$13,B1060)+INDEX(Drivers!$E$8:$E$13,B1060)*SIN((A1060+INDEX(Drivers!$F$8:$F$13,B1060)+Control!$B$16)*Control!$B$14))*INDEX(TrackMap!$M$8:$M$141,MOD(INT(D1060)-1,Control!$B$7)+1)*IF(E1060="BOOST",Control!$B$12,1)))</x:f>
        <x:v>3.5578751834970337</x:v>
      </x:c>
      <x:c r="G1060" s="83" t="n">
        <x:f>IF(A1060=0,D1060,MIN(Control!$B$17,D1060+F1060))</x:f>
        <x:v>603.0079748770086</x:v>
      </x:c>
      <x:c r="H1060" s="73" t="n">
        <x:f>MOD(INT(G1060)-1,Control!$B$7)+1</x:f>
        <x:v>67</x:v>
      </x:c>
      <x:c r="I1060" s="73" t="n">
        <x:f>MIN(Control!$B$6,MAX(1,INT(MAX(0,G1060)/Control!$B$7)+1))</x:f>
        <x:v>5</x:v>
      </x:c>
      <x:c r="J1060" s="73" t="n">
        <x:f>INDEX(Drivers!$H$8:$H$13,B1060)</x:f>
        <x:v>1</x:v>
      </x:c>
      <x:c r="K1060" s="73" t="n">
        <x:f>IF(J1060=1,INDEX(TrackMap!$I$8:$I$141,H1060),INDEX(TrackMap!$L$8:$L$141,H1060))</x:f>
        <x:v>1640</x:v>
      </x:c>
      <x:c r="L1060" s="73" t="str">
        <x:f>INDEX(TrackMap!$F$8:$F$141,H1060)</x:f>
        <x:v>→</x:v>
      </x:c>
      <x:c r="M1060" s="87" t="n">
        <x:f>MAX(0,G1060/Control!$B$17)</x:f>
        <x:v>0.9000119028015053</x:v>
      </x:c>
      <x:c r="N1060" s="73" t="n">
        <x:f>IF(N1054&gt;0,N1054,IF(G1060&gt;=Control!$B$17,A1060,0))</x:f>
        <x:v>0</x:v>
      </x:c>
      <x:c r="O1060" s="91" t="n">
        <x:f>IF(N1060&gt;0,Control!$B$17+Control!$B$8+1-N1060,G1060)-B1060/100000</x:f>
        <x:v>603.0079448770085</x:v>
      </x:c>
      <x:c r="P1060" s="73" t="n">
        <x:f>COUNTIF($O$1058:$O$1063,"&gt;"&amp;O1060)+1</x:f>
        <x:v>1</x:v>
      </x:c>
      <x:c r="Q1060" s="83" t="n">
        <x:f>MAX($G$1058:$G$1063)-G1060</x:f>
        <x:v>0</x:v>
      </x:c>
      <x:c r="R1060" s="73" t="str">
        <x:f>INDEX(TrackMap!$B$8:$B$141,H1060)</x:f>
        <x:v>中央高速直道</x:v>
      </x:c>
    </x:row>
    <x:row r="1061" ht="20" customHeight="1">
      <x:c r="A1061" s="73" t="n">
        <x:v>175</x:v>
      </x:c>
      <x:c r="B1061" s="73" t="n">
        <x:v>4</x:v>
      </x:c>
      <x:c r="C1061" s="73" t="str">
        <x:f>INDEX(Drivers!$B$8:$B$13,B1061)</x:f>
        <x:v>紫影</x:v>
      </x:c>
      <x:c r="D1061" s="83" t="n">
        <x:f>G1055</x:f>
        <x:v>585.1066454293434</x:v>
      </x:c>
      <x:c r="E1061" s="83" t="str">
        <x:f>IF(A1061=0,"GRID",IF(D1061&gt;=Control!$B$17,"FINISHED",IF(AND(A1061&gt;=INDEX(Drivers!$G$8:$G$13,B1061),A1061&lt;INDEX(Drivers!$G$8:$G$13,B1061)+INDEX(Drivers!$J$8:$J$13,B1061)),"PIT",IF(MOD(A1061+INDEX(Drivers!$F$8:$F$13,B1061),Control!$B$11)&lt;Control!$B$13,"BOOST","RACE"))))</x:f>
        <x:v>RACE</x:v>
      </x:c>
      <x:c r="F1061" s="83" t="n">
        <x:f>IF(OR(E1061="GRID",E1061="FINISHED",E1061="PIT"),0,MAX(Control!$B$15,(INDEX(Drivers!$D$8:$D$13,B1061)+INDEX(Drivers!$E$8:$E$13,B1061)*SIN((A1061+INDEX(Drivers!$F$8:$F$13,B1061)+Control!$B$16)*Control!$B$14))*INDEX(TrackMap!$M$8:$M$141,MOD(INT(D1061)-1,Control!$B$7)+1)*IF(E1061="BOOST",Control!$B$12,1)))</x:f>
        <x:v>4.031821902191498</x:v>
      </x:c>
      <x:c r="G1061" s="83" t="n">
        <x:f>IF(A1061=0,D1061,MIN(Control!$B$17,D1061+F1061))</x:f>
        <x:v>589.1384673315349</x:v>
      </x:c>
      <x:c r="H1061" s="73" t="n">
        <x:f>MOD(INT(G1061)-1,Control!$B$7)+1</x:f>
        <x:v>53</x:v>
      </x:c>
      <x:c r="I1061" s="73" t="n">
        <x:f>MIN(Control!$B$6,MAX(1,INT(MAX(0,G1061)/Control!$B$7)+1))</x:f>
        <x:v>5</x:v>
      </x:c>
      <x:c r="J1061" s="73" t="n">
        <x:f>INDEX(Drivers!$H$8:$H$13,B1061)</x:f>
        <x:v>2</x:v>
      </x:c>
      <x:c r="K1061" s="73" t="n">
        <x:f>IF(J1061=1,INDEX(TrackMap!$I$8:$I$141,H1061),INDEX(TrackMap!$L$8:$L$141,H1061))</x:f>
        <x:v>1526</x:v>
      </x:c>
      <x:c r="L1061" s="73" t="str">
        <x:f>INDEX(TrackMap!$F$8:$F$141,H1061)</x:f>
        <x:v>→</x:v>
      </x:c>
      <x:c r="M1061" s="87" t="n">
        <x:f>MAX(0,G1061/Control!$B$17)</x:f>
        <x:v>0.8793111452709477</x:v>
      </x:c>
      <x:c r="N1061" s="73" t="n">
        <x:f>IF(N1055&gt;0,N1055,IF(G1061&gt;=Control!$B$17,A1061,0))</x:f>
        <x:v>0</x:v>
      </x:c>
      <x:c r="O1061" s="91" t="n">
        <x:f>IF(N1061&gt;0,Control!$B$17+Control!$B$8+1-N1061,G1061)-B1061/100000</x:f>
        <x:v>589.1384273315349</x:v>
      </x:c>
      <x:c r="P1061" s="73" t="n">
        <x:f>COUNTIF($O$1058:$O$1063,"&gt;"&amp;O1061)+1</x:f>
        <x:v>5</x:v>
      </x:c>
      <x:c r="Q1061" s="83" t="n">
        <x:f>MAX($G$1058:$G$1063)-G1061</x:f>
        <x:v>13.869507545473652</x:v>
      </x:c>
      <x:c r="R1061" s="73" t="str">
        <x:f>INDEX(TrackMap!$B$8:$B$141,H1061)</x:f>
        <x:v>中央高速直道</x:v>
      </x:c>
    </x:row>
    <x:row r="1062" ht="20" customHeight="1">
      <x:c r="A1062" s="73" t="n">
        <x:v>175</x:v>
      </x:c>
      <x:c r="B1062" s="73" t="n">
        <x:v>5</x:v>
      </x:c>
      <x:c r="C1062" s="73" t="str">
        <x:f>INDEX(Drivers!$B$8:$B$13,B1062)</x:f>
        <x:v>青锋</x:v>
      </x:c>
      <x:c r="D1062" s="83" t="n">
        <x:f>G1056</x:f>
        <x:v>592.2505017236693</x:v>
      </x:c>
      <x:c r="E1062" s="83" t="str">
        <x:f>IF(A1062=0,"GRID",IF(D1062&gt;=Control!$B$17,"FINISHED",IF(AND(A1062&gt;=INDEX(Drivers!$G$8:$G$13,B1062),A1062&lt;INDEX(Drivers!$G$8:$G$13,B1062)+INDEX(Drivers!$J$8:$J$13,B1062)),"PIT",IF(MOD(A1062+INDEX(Drivers!$F$8:$F$13,B1062),Control!$B$11)&lt;Control!$B$13,"BOOST","RACE"))))</x:f>
        <x:v>RACE</x:v>
      </x:c>
      <x:c r="F1062" s="83" t="n">
        <x:f>IF(OR(E1062="GRID",E1062="FINISHED",E1062="PIT"),0,MAX(Control!$B$15,(INDEX(Drivers!$D$8:$D$13,B1062)+INDEX(Drivers!$E$8:$E$13,B1062)*SIN((A1062+INDEX(Drivers!$F$8:$F$13,B1062)+Control!$B$16)*Control!$B$14))*INDEX(TrackMap!$M$8:$M$141,MOD(INT(D1062)-1,Control!$B$7)+1)*IF(E1062="BOOST",Control!$B$12,1)))</x:f>
        <x:v>4.019507395747613</x:v>
      </x:c>
      <x:c r="G1062" s="83" t="n">
        <x:f>IF(A1062=0,D1062,MIN(Control!$B$17,D1062+F1062))</x:f>
        <x:v>596.270009119417</x:v>
      </x:c>
      <x:c r="H1062" s="73" t="n">
        <x:f>MOD(INT(G1062)-1,Control!$B$7)+1</x:f>
        <x:v>60</x:v>
      </x:c>
      <x:c r="I1062" s="73" t="n">
        <x:f>MIN(Control!$B$6,MAX(1,INT(MAX(0,G1062)/Control!$B$7)+1))</x:f>
        <x:v>5</x:v>
      </x:c>
      <x:c r="J1062" s="73" t="n">
        <x:f>INDEX(Drivers!$H$8:$H$13,B1062)</x:f>
        <x:v>1</x:v>
      </x:c>
      <x:c r="K1062" s="73" t="n">
        <x:f>IF(J1062=1,INDEX(TrackMap!$I$8:$I$141,H1062),INDEX(TrackMap!$L$8:$L$141,H1062))</x:f>
        <x:v>1633</x:v>
      </x:c>
      <x:c r="L1062" s="73" t="str">
        <x:f>INDEX(TrackMap!$F$8:$F$141,H1062)</x:f>
        <x:v>→</x:v>
      </x:c>
      <x:c r="M1062" s="87" t="n">
        <x:f>MAX(0,G1062/Control!$B$17)</x:f>
        <x:v>0.889955237491667</x:v>
      </x:c>
      <x:c r="N1062" s="73" t="n">
        <x:f>IF(N1056&gt;0,N1056,IF(G1062&gt;=Control!$B$17,A1062,0))</x:f>
        <x:v>0</x:v>
      </x:c>
      <x:c r="O1062" s="91" t="n">
        <x:f>IF(N1062&gt;0,Control!$B$17+Control!$B$8+1-N1062,G1062)-B1062/100000</x:f>
        <x:v>596.269959119417</x:v>
      </x:c>
      <x:c r="P1062" s="73" t="n">
        <x:f>COUNTIF($O$1058:$O$1063,"&gt;"&amp;O1062)+1</x:f>
        <x:v>4</x:v>
      </x:c>
      <x:c r="Q1062" s="83" t="n">
        <x:f>MAX($G$1058:$G$1063)-G1062</x:f>
        <x:v>6.73796575759161</x:v>
      </x:c>
      <x:c r="R1062" s="73" t="str">
        <x:f>INDEX(TrackMap!$B$8:$B$141,H1062)</x:f>
        <x:v>中央高速直道</x:v>
      </x:c>
    </x:row>
    <x:row r="1063" ht="20" customHeight="1">
      <x:c r="A1063" s="73" t="n">
        <x:v>175</x:v>
      </x:c>
      <x:c r="B1063" s="73" t="n">
        <x:v>6</x:v>
      </x:c>
      <x:c r="C1063" s="73" t="str">
        <x:f>INDEX(Drivers!$B$8:$B$13,B1063)</x:f>
        <x:v>玫速</x:v>
      </x:c>
      <x:c r="D1063" s="83" t="n">
        <x:f>G1057</x:f>
        <x:v>593.2716080153259</x:v>
      </x:c>
      <x:c r="E1063" s="83" t="str">
        <x:f>IF(A1063=0,"GRID",IF(D1063&gt;=Control!$B$17,"FINISHED",IF(AND(A1063&gt;=INDEX(Drivers!$G$8:$G$13,B1063),A1063&lt;INDEX(Drivers!$G$8:$G$13,B1063)+INDEX(Drivers!$J$8:$J$13,B1063)),"PIT",IF(MOD(A1063+INDEX(Drivers!$F$8:$F$13,B1063),Control!$B$11)&lt;Control!$B$13,"BOOST","RACE"))))</x:f>
        <x:v>BOOST</x:v>
      </x:c>
      <x:c r="F1063" s="83" t="n">
        <x:f>IF(OR(E1063="GRID",E1063="FINISHED",E1063="PIT"),0,MAX(Control!$B$15,(INDEX(Drivers!$D$8:$D$13,B1063)+INDEX(Drivers!$E$8:$E$13,B1063)*SIN((A1063+INDEX(Drivers!$F$8:$F$13,B1063)+Control!$B$16)*Control!$B$14))*INDEX(TrackMap!$M$8:$M$141,MOD(INT(D1063)-1,Control!$B$7)+1)*IF(E1063="BOOST",Control!$B$12,1)))</x:f>
        <x:v>4.17003152902072</x:v>
      </x:c>
      <x:c r="G1063" s="83" t="n">
        <x:f>IF(A1063=0,D1063,MIN(Control!$B$17,D1063+F1063))</x:f>
        <x:v>597.4416395443467</x:v>
      </x:c>
      <x:c r="H1063" s="73" t="n">
        <x:f>MOD(INT(G1063)-1,Control!$B$7)+1</x:f>
        <x:v>61</x:v>
      </x:c>
      <x:c r="I1063" s="73" t="n">
        <x:f>MIN(Control!$B$6,MAX(1,INT(MAX(0,G1063)/Control!$B$7)+1))</x:f>
        <x:v>5</x:v>
      </x:c>
      <x:c r="J1063" s="73" t="n">
        <x:f>INDEX(Drivers!$H$8:$H$13,B1063)</x:f>
        <x:v>2</x:v>
      </x:c>
      <x:c r="K1063" s="73" t="n">
        <x:f>IF(J1063=1,INDEX(TrackMap!$I$8:$I$141,H1063),INDEX(TrackMap!$L$8:$L$141,H1063))</x:f>
        <x:v>1534</x:v>
      </x:c>
      <x:c r="L1063" s="73" t="str">
        <x:f>INDEX(TrackMap!$F$8:$F$141,H1063)</x:f>
        <x:v>→</x:v>
      </x:c>
      <x:c r="M1063" s="87" t="n">
        <x:f>MAX(0,G1063/Control!$B$17)</x:f>
        <x:v>0.8917039396184279</x:v>
      </x:c>
      <x:c r="N1063" s="73" t="n">
        <x:f>IF(N1057&gt;0,N1057,IF(G1063&gt;=Control!$B$17,A1063,0))</x:f>
        <x:v>0</x:v>
      </x:c>
      <x:c r="O1063" s="91" t="n">
        <x:f>IF(N1063&gt;0,Control!$B$17+Control!$B$8+1-N1063,G1063)-B1063/100000</x:f>
        <x:v>597.4415795443467</x:v>
      </x:c>
      <x:c r="P1063" s="73" t="n">
        <x:f>COUNTIF($O$1058:$O$1063,"&gt;"&amp;O1063)+1</x:f>
        <x:v>3</x:v>
      </x:c>
      <x:c r="Q1063" s="83" t="n">
        <x:f>MAX($G$1058:$G$1063)-G1063</x:f>
        <x:v>5.566335332661879</x:v>
      </x:c>
      <x:c r="R1063" s="73" t="str">
        <x:f>INDEX(TrackMap!$B$8:$B$141,H1063)</x:f>
        <x:v>中央高速直道</x:v>
      </x:c>
    </x:row>
    <x:row r="1064" ht="20" customHeight="1">
      <x:c r="A1064" s="73" t="n">
        <x:v>176</x:v>
      </x:c>
      <x:c r="B1064" s="73" t="n">
        <x:v>1</x:v>
      </x:c>
      <x:c r="C1064" s="73" t="str">
        <x:f>INDEX(Drivers!$B$8:$B$13,B1064)</x:f>
        <x:v>赤焰</x:v>
      </x:c>
      <x:c r="D1064" s="83" t="n">
        <x:f>G1058</x:f>
        <x:v>602.0979909962489</x:v>
      </x:c>
      <x:c r="E1064" s="83" t="str">
        <x:f>IF(A1064=0,"GRID",IF(D1064&gt;=Control!$B$17,"FINISHED",IF(AND(A1064&gt;=INDEX(Drivers!$G$8:$G$13,B1064),A1064&lt;INDEX(Drivers!$G$8:$G$13,B1064)+INDEX(Drivers!$J$8:$J$13,B1064)),"PIT",IF(MOD(A1064+INDEX(Drivers!$F$8:$F$13,B1064),Control!$B$11)&lt;Control!$B$13,"BOOST","RACE"))))</x:f>
        <x:v>RACE</x:v>
      </x:c>
      <x:c r="F1064" s="83" t="n">
        <x:f>IF(OR(E1064="GRID",E1064="FINISHED",E1064="PIT"),0,MAX(Control!$B$15,(INDEX(Drivers!$D$8:$D$13,B1064)+INDEX(Drivers!$E$8:$E$13,B1064)*SIN((A1064+INDEX(Drivers!$F$8:$F$13,B1064)+Control!$B$16)*Control!$B$14))*INDEX(TrackMap!$M$8:$M$141,MOD(INT(D1064)-1,Control!$B$7)+1)*IF(E1064="BOOST",Control!$B$12,1)))</x:f>
        <x:v>4.159566545655856</x:v>
      </x:c>
      <x:c r="G1064" s="83" t="n">
        <x:f>IF(A1064=0,D1064,MIN(Control!$B$17,D1064+F1064))</x:f>
        <x:v>606.2575575419047</x:v>
      </x:c>
      <x:c r="H1064" s="73" t="n">
        <x:f>MOD(INT(G1064)-1,Control!$B$7)+1</x:f>
        <x:v>70</x:v>
      </x:c>
      <x:c r="I1064" s="73" t="n">
        <x:f>MIN(Control!$B$6,MAX(1,INT(MAX(0,G1064)/Control!$B$7)+1))</x:f>
        <x:v>5</x:v>
      </x:c>
      <x:c r="J1064" s="73" t="n">
        <x:f>INDEX(Drivers!$H$8:$H$13,B1064)</x:f>
        <x:v>1</x:v>
      </x:c>
      <x:c r="K1064" s="73" t="n">
        <x:f>IF(J1064=1,INDEX(TrackMap!$I$8:$I$141,H1064),INDEX(TrackMap!$L$8:$L$141,H1064))</x:f>
        <x:v>1643</x:v>
      </x:c>
      <x:c r="L1064" s="73" t="str">
        <x:f>INDEX(TrackMap!$F$8:$F$141,H1064)</x:f>
        <x:v>→</x:v>
      </x:c>
      <x:c r="M1064" s="87" t="n">
        <x:f>MAX(0,G1064/Control!$B$17)</x:f>
        <x:v>0.9048620261819473</x:v>
      </x:c>
      <x:c r="N1064" s="73" t="n">
        <x:f>IF(N1058&gt;0,N1058,IF(G1064&gt;=Control!$B$17,A1064,0))</x:f>
        <x:v>0</x:v>
      </x:c>
      <x:c r="O1064" s="91" t="n">
        <x:f>IF(N1064&gt;0,Control!$B$17+Control!$B$8+1-N1064,G1064)-B1064/100000</x:f>
        <x:v>606.2575475419047</x:v>
      </x:c>
      <x:c r="P1064" s="73" t="n">
        <x:f>COUNTIF($O$1064:$O$1069,"&gt;"&amp;O1064)+1</x:f>
        <x:v>2</x:v>
      </x:c>
      <x:c r="Q1064" s="83" t="n">
        <x:f>MAX($G$1064:$G$1069)-G1064</x:f>
        <x:v>0.49125993492020825</x:v>
      </x:c>
      <x:c r="R1064" s="73" t="str">
        <x:f>INDEX(TrackMap!$B$8:$B$141,H1064)</x:f>
        <x:v>中央高速直道</x:v>
      </x:c>
    </x:row>
    <x:row r="1065" ht="20" customHeight="1">
      <x:c r="A1065" s="73" t="n">
        <x:v>176</x:v>
      </x:c>
      <x:c r="B1065" s="73" t="n">
        <x:v>2</x:v>
      </x:c>
      <x:c r="C1065" s="73" t="str">
        <x:f>INDEX(Drivers!$B$8:$B$13,B1065)</x:f>
        <x:v>蓝电</x:v>
      </x:c>
      <x:c r="D1065" s="83" t="n">
        <x:f>G1059</x:f>
        <x:v>581.8791602428288</x:v>
      </x:c>
      <x:c r="E1065" s="83" t="str">
        <x:f>IF(A1065=0,"GRID",IF(D1065&gt;=Control!$B$17,"FINISHED",IF(AND(A1065&gt;=INDEX(Drivers!$G$8:$G$13,B1065),A1065&lt;INDEX(Drivers!$G$8:$G$13,B1065)+INDEX(Drivers!$J$8:$J$13,B1065)),"PIT",IF(MOD(A1065+INDEX(Drivers!$F$8:$F$13,B1065),Control!$B$11)&lt;Control!$B$13,"BOOST","RACE"))))</x:f>
        <x:v>BOOST</x:v>
      </x:c>
      <x:c r="F1065" s="83" t="n">
        <x:f>IF(OR(E1065="GRID",E1065="FINISHED",E1065="PIT"),0,MAX(Control!$B$15,(INDEX(Drivers!$D$8:$D$13,B1065)+INDEX(Drivers!$E$8:$E$13,B1065)*SIN((A1065+INDEX(Drivers!$F$8:$F$13,B1065)+Control!$B$16)*Control!$B$14))*INDEX(TrackMap!$M$8:$M$141,MOD(INT(D1065)-1,Control!$B$7)+1)*IF(E1065="BOOST",Control!$B$12,1)))</x:f>
        <x:v>3.3958005599695245</x:v>
      </x:c>
      <x:c r="G1065" s="83" t="n">
        <x:f>IF(A1065=0,D1065,MIN(Control!$B$17,D1065+F1065))</x:f>
        <x:v>585.2749608027983</x:v>
      </x:c>
      <x:c r="H1065" s="73" t="n">
        <x:f>MOD(INT(G1065)-1,Control!$B$7)+1</x:f>
        <x:v>49</x:v>
      </x:c>
      <x:c r="I1065" s="73" t="n">
        <x:f>MIN(Control!$B$6,MAX(1,INT(MAX(0,G1065)/Control!$B$7)+1))</x:f>
        <x:v>5</x:v>
      </x:c>
      <x:c r="J1065" s="73" t="n">
        <x:f>INDEX(Drivers!$H$8:$H$13,B1065)</x:f>
        <x:v>2</x:v>
      </x:c>
      <x:c r="K1065" s="73" t="n">
        <x:f>IF(J1065=1,INDEX(TrackMap!$I$8:$I$141,H1065),INDEX(TrackMap!$L$8:$L$141,H1065))</x:f>
        <x:v>1522</x:v>
      </x:c>
      <x:c r="L1065" s="73" t="str">
        <x:f>INDEX(TrackMap!$F$8:$F$141,H1065)</x:f>
        <x:v>→</x:v>
      </x:c>
      <x:c r="M1065" s="87" t="n">
        <x:f>MAX(0,G1065/Control!$B$17)</x:f>
        <x:v>0.8735447176161169</x:v>
      </x:c>
      <x:c r="N1065" s="73" t="n">
        <x:f>IF(N1059&gt;0,N1059,IF(G1065&gt;=Control!$B$17,A1065,0))</x:f>
        <x:v>0</x:v>
      </x:c>
      <x:c r="O1065" s="91" t="n">
        <x:f>IF(N1065&gt;0,Control!$B$17+Control!$B$8+1-N1065,G1065)-B1065/100000</x:f>
        <x:v>585.2749408027984</x:v>
      </x:c>
      <x:c r="P1065" s="73" t="n">
        <x:f>COUNTIF($O$1064:$O$1069,"&gt;"&amp;O1065)+1</x:f>
        <x:v>6</x:v>
      </x:c>
      <x:c r="Q1065" s="83" t="n">
        <x:f>MAX($G$1064:$G$1069)-G1065</x:f>
        <x:v>21.473856674026592</x:v>
      </x:c>
      <x:c r="R1065" s="73" t="str">
        <x:f>INDEX(TrackMap!$B$8:$B$141,H1065)</x:f>
        <x:v>中央高速直道</x:v>
      </x:c>
    </x:row>
    <x:row r="1066" ht="20" customHeight="1">
      <x:c r="A1066" s="73" t="n">
        <x:v>176</x:v>
      </x:c>
      <x:c r="B1066" s="73" t="n">
        <x:v>3</x:v>
      </x:c>
      <x:c r="C1066" s="73" t="str">
        <x:f>INDEX(Drivers!$B$8:$B$13,B1066)</x:f>
        <x:v>金翼</x:v>
      </x:c>
      <x:c r="D1066" s="83" t="n">
        <x:f>G1060</x:f>
        <x:v>603.0079748770086</x:v>
      </x:c>
      <x:c r="E1066" s="83" t="str">
        <x:f>IF(A1066=0,"GRID",IF(D1066&gt;=Control!$B$17,"FINISHED",IF(AND(A1066&gt;=INDEX(Drivers!$G$8:$G$13,B1066),A1066&lt;INDEX(Drivers!$G$8:$G$13,B1066)+INDEX(Drivers!$J$8:$J$13,B1066)),"PIT",IF(MOD(A1066+INDEX(Drivers!$F$8:$F$13,B1066),Control!$B$11)&lt;Control!$B$13,"BOOST","RACE"))))</x:f>
        <x:v>RACE</x:v>
      </x:c>
      <x:c r="F1066" s="83" t="n">
        <x:f>IF(OR(E1066="GRID",E1066="FINISHED",E1066="PIT"),0,MAX(Control!$B$15,(INDEX(Drivers!$D$8:$D$13,B1066)+INDEX(Drivers!$E$8:$E$13,B1066)*SIN((A1066+INDEX(Drivers!$F$8:$F$13,B1066)+Control!$B$16)*Control!$B$14))*INDEX(TrackMap!$M$8:$M$141,MOD(INT(D1066)-1,Control!$B$7)+1)*IF(E1066="BOOST",Control!$B$12,1)))</x:f>
        <x:v>3.740842599816301</x:v>
      </x:c>
      <x:c r="G1066" s="83" t="n">
        <x:f>IF(A1066=0,D1066,MIN(Control!$B$17,D1066+F1066))</x:f>
        <x:v>606.7488174768249</x:v>
      </x:c>
      <x:c r="H1066" s="73" t="n">
        <x:f>MOD(INT(G1066)-1,Control!$B$7)+1</x:f>
        <x:v>70</x:v>
      </x:c>
      <x:c r="I1066" s="73" t="n">
        <x:f>MIN(Control!$B$6,MAX(1,INT(MAX(0,G1066)/Control!$B$7)+1))</x:f>
        <x:v>5</x:v>
      </x:c>
      <x:c r="J1066" s="73" t="n">
        <x:f>INDEX(Drivers!$H$8:$H$13,B1066)</x:f>
        <x:v>1</x:v>
      </x:c>
      <x:c r="K1066" s="73" t="n">
        <x:f>IF(J1066=1,INDEX(TrackMap!$I$8:$I$141,H1066),INDEX(TrackMap!$L$8:$L$141,H1066))</x:f>
        <x:v>1643</x:v>
      </x:c>
      <x:c r="L1066" s="73" t="str">
        <x:f>INDEX(TrackMap!$F$8:$F$141,H1066)</x:f>
        <x:v>→</x:v>
      </x:c>
      <x:c r="M1066" s="87" t="n">
        <x:f>MAX(0,G1066/Control!$B$17)</x:f>
        <x:v>0.9055952499654103</x:v>
      </x:c>
      <x:c r="N1066" s="73" t="n">
        <x:f>IF(N1060&gt;0,N1060,IF(G1066&gt;=Control!$B$17,A1066,0))</x:f>
        <x:v>0</x:v>
      </x:c>
      <x:c r="O1066" s="91" t="n">
        <x:f>IF(N1066&gt;0,Control!$B$17+Control!$B$8+1-N1066,G1066)-B1066/100000</x:f>
        <x:v>606.7487874768249</x:v>
      </x:c>
      <x:c r="P1066" s="73" t="n">
        <x:f>COUNTIF($O$1064:$O$1069,"&gt;"&amp;O1066)+1</x:f>
        <x:v>1</x:v>
      </x:c>
      <x:c r="Q1066" s="83" t="n">
        <x:f>MAX($G$1064:$G$1069)-G1066</x:f>
        <x:v>0</x:v>
      </x:c>
      <x:c r="R1066" s="73" t="str">
        <x:f>INDEX(TrackMap!$B$8:$B$141,H1066)</x:f>
        <x:v>中央高速直道</x:v>
      </x:c>
    </x:row>
    <x:row r="1067" ht="20" customHeight="1">
      <x:c r="A1067" s="73" t="n">
        <x:v>176</x:v>
      </x:c>
      <x:c r="B1067" s="73" t="n">
        <x:v>4</x:v>
      </x:c>
      <x:c r="C1067" s="73" t="str">
        <x:f>INDEX(Drivers!$B$8:$B$13,B1067)</x:f>
        <x:v>紫影</x:v>
      </x:c>
      <x:c r="D1067" s="83" t="n">
        <x:f>G1061</x:f>
        <x:v>589.1384673315349</x:v>
      </x:c>
      <x:c r="E1067" s="83" t="str">
        <x:f>IF(A1067=0,"GRID",IF(D1067&gt;=Control!$B$17,"FINISHED",IF(AND(A1067&gt;=INDEX(Drivers!$G$8:$G$13,B1067),A1067&lt;INDEX(Drivers!$G$8:$G$13,B1067)+INDEX(Drivers!$J$8:$J$13,B1067)),"PIT",IF(MOD(A1067+INDEX(Drivers!$F$8:$F$13,B1067),Control!$B$11)&lt;Control!$B$13,"BOOST","RACE"))))</x:f>
        <x:v>RACE</x:v>
      </x:c>
      <x:c r="F1067" s="83" t="n">
        <x:f>IF(OR(E1067="GRID",E1067="FINISHED",E1067="PIT"),0,MAX(Control!$B$15,(INDEX(Drivers!$D$8:$D$13,B1067)+INDEX(Drivers!$E$8:$E$13,B1067)*SIN((A1067+INDEX(Drivers!$F$8:$F$13,B1067)+Control!$B$16)*Control!$B$14))*INDEX(TrackMap!$M$8:$M$141,MOD(INT(D1067)-1,Control!$B$7)+1)*IF(E1067="BOOST",Control!$B$12,1)))</x:f>
        <x:v>3.862579068607856</x:v>
      </x:c>
      <x:c r="G1067" s="83" t="n">
        <x:f>IF(A1067=0,D1067,MIN(Control!$B$17,D1067+F1067))</x:f>
        <x:v>593.0010464001427</x:v>
      </x:c>
      <x:c r="H1067" s="73" t="n">
        <x:f>MOD(INT(G1067)-1,Control!$B$7)+1</x:f>
        <x:v>57</x:v>
      </x:c>
      <x:c r="I1067" s="73" t="n">
        <x:f>MIN(Control!$B$6,MAX(1,INT(MAX(0,G1067)/Control!$B$7)+1))</x:f>
        <x:v>5</x:v>
      </x:c>
      <x:c r="J1067" s="73" t="n">
        <x:f>INDEX(Drivers!$H$8:$H$13,B1067)</x:f>
        <x:v>2</x:v>
      </x:c>
      <x:c r="K1067" s="73" t="n">
        <x:f>IF(J1067=1,INDEX(TrackMap!$I$8:$I$141,H1067),INDEX(TrackMap!$L$8:$L$141,H1067))</x:f>
        <x:v>1530</x:v>
      </x:c>
      <x:c r="L1067" s="73" t="str">
        <x:f>INDEX(TrackMap!$F$8:$F$141,H1067)</x:f>
        <x:v>→</x:v>
      </x:c>
      <x:c r="M1067" s="87" t="n">
        <x:f>MAX(0,G1067/Control!$B$17)</x:f>
        <x:v>0.8850761886569295</x:v>
      </x:c>
      <x:c r="N1067" s="73" t="n">
        <x:f>IF(N1061&gt;0,N1061,IF(G1067&gt;=Control!$B$17,A1067,0))</x:f>
        <x:v>0</x:v>
      </x:c>
      <x:c r="O1067" s="91" t="n">
        <x:f>IF(N1067&gt;0,Control!$B$17+Control!$B$8+1-N1067,G1067)-B1067/100000</x:f>
        <x:v>593.0010064001427</x:v>
      </x:c>
      <x:c r="P1067" s="73" t="n">
        <x:f>COUNTIF($O$1064:$O$1069,"&gt;"&amp;O1067)+1</x:f>
        <x:v>5</x:v>
      </x:c>
      <x:c r="Q1067" s="83" t="n">
        <x:f>MAX($G$1064:$G$1069)-G1067</x:f>
        <x:v>13.74777107668217</x:v>
      </x:c>
      <x:c r="R1067" s="73" t="str">
        <x:f>INDEX(TrackMap!$B$8:$B$141,H1067)</x:f>
        <x:v>中央高速直道</x:v>
      </x:c>
    </x:row>
    <x:row r="1068" ht="20" customHeight="1">
      <x:c r="A1068" s="73" t="n">
        <x:v>176</x:v>
      </x:c>
      <x:c r="B1068" s="73" t="n">
        <x:v>5</x:v>
      </x:c>
      <x:c r="C1068" s="73" t="str">
        <x:f>INDEX(Drivers!$B$8:$B$13,B1068)</x:f>
        <x:v>青锋</x:v>
      </x:c>
      <x:c r="D1068" s="83" t="n">
        <x:f>G1062</x:f>
        <x:v>596.270009119417</x:v>
      </x:c>
      <x:c r="E1068" s="83" t="str">
        <x:f>IF(A1068=0,"GRID",IF(D1068&gt;=Control!$B$17,"FINISHED",IF(AND(A1068&gt;=INDEX(Drivers!$G$8:$G$13,B1068),A1068&lt;INDEX(Drivers!$G$8:$G$13,B1068)+INDEX(Drivers!$J$8:$J$13,B1068)),"PIT",IF(MOD(A1068+INDEX(Drivers!$F$8:$F$13,B1068),Control!$B$11)&lt;Control!$B$13,"BOOST","RACE"))))</x:f>
        <x:v>RACE</x:v>
      </x:c>
      <x:c r="F1068" s="83" t="n">
        <x:f>IF(OR(E1068="GRID",E1068="FINISHED",E1068="PIT"),0,MAX(Control!$B$15,(INDEX(Drivers!$D$8:$D$13,B1068)+INDEX(Drivers!$E$8:$E$13,B1068)*SIN((A1068+INDEX(Drivers!$F$8:$F$13,B1068)+Control!$B$16)*Control!$B$14))*INDEX(TrackMap!$M$8:$M$141,MOD(INT(D1068)-1,Control!$B$7)+1)*IF(E1068="BOOST",Control!$B$12,1)))</x:f>
        <x:v>3.8685699178739474</x:v>
      </x:c>
      <x:c r="G1068" s="83" t="n">
        <x:f>IF(A1068=0,D1068,MIN(Control!$B$17,D1068+F1068))</x:f>
        <x:v>600.1385790372909</x:v>
      </x:c>
      <x:c r="H1068" s="73" t="n">
        <x:f>MOD(INT(G1068)-1,Control!$B$7)+1</x:f>
        <x:v>64</x:v>
      </x:c>
      <x:c r="I1068" s="73" t="n">
        <x:f>MIN(Control!$B$6,MAX(1,INT(MAX(0,G1068)/Control!$B$7)+1))</x:f>
        <x:v>5</x:v>
      </x:c>
      <x:c r="J1068" s="73" t="n">
        <x:f>INDEX(Drivers!$H$8:$H$13,B1068)</x:f>
        <x:v>1</x:v>
      </x:c>
      <x:c r="K1068" s="73" t="n">
        <x:f>IF(J1068=1,INDEX(TrackMap!$I$8:$I$141,H1068),INDEX(TrackMap!$L$8:$L$141,H1068))</x:f>
        <x:v>1637</x:v>
      </x:c>
      <x:c r="L1068" s="73" t="str">
        <x:f>INDEX(TrackMap!$F$8:$F$141,H1068)</x:f>
        <x:v>→</x:v>
      </x:c>
      <x:c r="M1068" s="87" t="n">
        <x:f>MAX(0,G1068/Control!$B$17)</x:f>
        <x:v>0.8957292224437178</x:v>
      </x:c>
      <x:c r="N1068" s="73" t="n">
        <x:f>IF(N1062&gt;0,N1062,IF(G1068&gt;=Control!$B$17,A1068,0))</x:f>
        <x:v>0</x:v>
      </x:c>
      <x:c r="O1068" s="91" t="n">
        <x:f>IF(N1068&gt;0,Control!$B$17+Control!$B$8+1-N1068,G1068)-B1068/100000</x:f>
        <x:v>600.1385290372909</x:v>
      </x:c>
      <x:c r="P1068" s="73" t="n">
        <x:f>COUNTIF($O$1064:$O$1069,"&gt;"&amp;O1068)+1</x:f>
        <x:v>4</x:v>
      </x:c>
      <x:c r="Q1068" s="83" t="n">
        <x:f>MAX($G$1064:$G$1069)-G1068</x:f>
        <x:v>6.610238439533987</x:v>
      </x:c>
      <x:c r="R1068" s="73" t="str">
        <x:f>INDEX(TrackMap!$B$8:$B$141,H1068)</x:f>
        <x:v>中央高速直道</x:v>
      </x:c>
    </x:row>
    <x:row r="1069" ht="20" customHeight="1">
      <x:c r="A1069" s="73" t="n">
        <x:v>176</x:v>
      </x:c>
      <x:c r="B1069" s="73" t="n">
        <x:v>6</x:v>
      </x:c>
      <x:c r="C1069" s="73" t="str">
        <x:f>INDEX(Drivers!$B$8:$B$13,B1069)</x:f>
        <x:v>玫速</x:v>
      </x:c>
      <x:c r="D1069" s="83" t="n">
        <x:f>G1063</x:f>
        <x:v>597.4416395443467</x:v>
      </x:c>
      <x:c r="E1069" s="83" t="str">
        <x:f>IF(A1069=0,"GRID",IF(D1069&gt;=Control!$B$17,"FINISHED",IF(AND(A1069&gt;=INDEX(Drivers!$G$8:$G$13,B1069),A1069&lt;INDEX(Drivers!$G$8:$G$13,B1069)+INDEX(Drivers!$J$8:$J$13,B1069)),"PIT",IF(MOD(A1069+INDEX(Drivers!$F$8:$F$13,B1069),Control!$B$11)&lt;Control!$B$13,"BOOST","RACE"))))</x:f>
        <x:v>BOOST</x:v>
      </x:c>
      <x:c r="F1069" s="83" t="n">
        <x:f>IF(OR(E1069="GRID",E1069="FINISHED",E1069="PIT"),0,MAX(Control!$B$15,(INDEX(Drivers!$D$8:$D$13,B1069)+INDEX(Drivers!$E$8:$E$13,B1069)*SIN((A1069+INDEX(Drivers!$F$8:$F$13,B1069)+Control!$B$16)*Control!$B$14))*INDEX(TrackMap!$M$8:$M$141,MOD(INT(D1069)-1,Control!$B$7)+1)*IF(E1069="BOOST",Control!$B$12,1)))</x:f>
        <x:v>4.274329642575614</x:v>
      </x:c>
      <x:c r="G1069" s="83" t="n">
        <x:f>IF(A1069=0,D1069,MIN(Control!$B$17,D1069+F1069))</x:f>
        <x:v>601.7159691869223</x:v>
      </x:c>
      <x:c r="H1069" s="73" t="n">
        <x:f>MOD(INT(G1069)-1,Control!$B$7)+1</x:f>
        <x:v>65</x:v>
      </x:c>
      <x:c r="I1069" s="73" t="n">
        <x:f>MIN(Control!$B$6,MAX(1,INT(MAX(0,G1069)/Control!$B$7)+1))</x:f>
        <x:v>5</x:v>
      </x:c>
      <x:c r="J1069" s="73" t="n">
        <x:f>INDEX(Drivers!$H$8:$H$13,B1069)</x:f>
        <x:v>2</x:v>
      </x:c>
      <x:c r="K1069" s="73" t="n">
        <x:f>IF(J1069=1,INDEX(TrackMap!$I$8:$I$141,H1069),INDEX(TrackMap!$L$8:$L$141,H1069))</x:f>
        <x:v>1538</x:v>
      </x:c>
      <x:c r="L1069" s="73" t="str">
        <x:f>INDEX(TrackMap!$F$8:$F$141,H1069)</x:f>
        <x:v>→</x:v>
      </x:c>
      <x:c r="M1069" s="87" t="n">
        <x:f>MAX(0,G1069/Control!$B$17)</x:f>
        <x:v>0.898083536099884</x:v>
      </x:c>
      <x:c r="N1069" s="73" t="n">
        <x:f>IF(N1063&gt;0,N1063,IF(G1069&gt;=Control!$B$17,A1069,0))</x:f>
        <x:v>0</x:v>
      </x:c>
      <x:c r="O1069" s="91" t="n">
        <x:f>IF(N1069&gt;0,Control!$B$17+Control!$B$8+1-N1069,G1069)-B1069/100000</x:f>
        <x:v>601.7159091869223</x:v>
      </x:c>
      <x:c r="P1069" s="73" t="n">
        <x:f>COUNTIF($O$1064:$O$1069,"&gt;"&amp;O1069)+1</x:f>
        <x:v>3</x:v>
      </x:c>
      <x:c r="Q1069" s="83" t="n">
        <x:f>MAX($G$1064:$G$1069)-G1069</x:f>
        <x:v>5.032848289902631</x:v>
      </x:c>
      <x:c r="R1069" s="73" t="str">
        <x:f>INDEX(TrackMap!$B$8:$B$141,H1069)</x:f>
        <x:v>中央高速直道</x:v>
      </x:c>
    </x:row>
    <x:row r="1070" ht="20" customHeight="1">
      <x:c r="A1070" s="73" t="n">
        <x:v>177</x:v>
      </x:c>
      <x:c r="B1070" s="73" t="n">
        <x:v>1</x:v>
      </x:c>
      <x:c r="C1070" s="73" t="str">
        <x:f>INDEX(Drivers!$B$8:$B$13,B1070)</x:f>
        <x:v>赤焰</x:v>
      </x:c>
      <x:c r="D1070" s="83" t="n">
        <x:f>G1064</x:f>
        <x:v>606.2575575419047</x:v>
      </x:c>
      <x:c r="E1070" s="83" t="str">
        <x:f>IF(A1070=0,"GRID",IF(D1070&gt;=Control!$B$17,"FINISHED",IF(AND(A1070&gt;=INDEX(Drivers!$G$8:$G$13,B1070),A1070&lt;INDEX(Drivers!$G$8:$G$13,B1070)+INDEX(Drivers!$J$8:$J$13,B1070)),"PIT",IF(MOD(A1070+INDEX(Drivers!$F$8:$F$13,B1070),Control!$B$11)&lt;Control!$B$13,"BOOST","RACE"))))</x:f>
        <x:v>RACE</x:v>
      </x:c>
      <x:c r="F1070" s="83" t="n">
        <x:f>IF(OR(E1070="GRID",E1070="FINISHED",E1070="PIT"),0,MAX(Control!$B$15,(INDEX(Drivers!$D$8:$D$13,B1070)+INDEX(Drivers!$E$8:$E$13,B1070)*SIN((A1070+INDEX(Drivers!$F$8:$F$13,B1070)+Control!$B$16)*Control!$B$14))*INDEX(TrackMap!$M$8:$M$141,MOD(INT(D1070)-1,Control!$B$7)+1)*IF(E1070="BOOST",Control!$B$12,1)))</x:f>
        <x:v>3.275946217842767</x:v>
      </x:c>
      <x:c r="G1070" s="83" t="n">
        <x:f>IF(A1070=0,D1070,MIN(Control!$B$17,D1070+F1070))</x:f>
        <x:v>609.5335037597474</x:v>
      </x:c>
      <x:c r="H1070" s="73" t="n">
        <x:f>MOD(INT(G1070)-1,Control!$B$7)+1</x:f>
        <x:v>73</x:v>
      </x:c>
      <x:c r="I1070" s="73" t="n">
        <x:f>MIN(Control!$B$6,MAX(1,INT(MAX(0,G1070)/Control!$B$7)+1))</x:f>
        <x:v>5</x:v>
      </x:c>
      <x:c r="J1070" s="73" t="n">
        <x:f>INDEX(Drivers!$H$8:$H$13,B1070)</x:f>
        <x:v>1</x:v>
      </x:c>
      <x:c r="K1070" s="73" t="n">
        <x:f>IF(J1070=1,INDEX(TrackMap!$I$8:$I$141,H1070),INDEX(TrackMap!$L$8:$L$141,H1070))</x:f>
        <x:v>1346</x:v>
      </x:c>
      <x:c r="L1070" s="73" t="str">
        <x:f>INDEX(TrackMap!$F$8:$F$141,H1070)</x:f>
        <x:v>↑</x:v>
      </x:c>
      <x:c r="M1070" s="87" t="n">
        <x:f>MAX(0,G1070/Control!$B$17)</x:f>
        <x:v>0.9097514981488768</x:v>
      </x:c>
      <x:c r="N1070" s="73" t="n">
        <x:f>IF(N1064&gt;0,N1064,IF(G1070&gt;=Control!$B$17,A1070,0))</x:f>
        <x:v>0</x:v>
      </x:c>
      <x:c r="O1070" s="91" t="n">
        <x:f>IF(N1070&gt;0,Control!$B$17+Control!$B$8+1-N1070,G1070)-B1070/100000</x:f>
        <x:v>609.5334937597474</x:v>
      </x:c>
      <x:c r="P1070" s="73" t="n">
        <x:f>COUNTIF($O$1070:$O$1075,"&gt;"&amp;O1070)+1</x:f>
        <x:v>2</x:v>
      </x:c>
      <x:c r="Q1070" s="83" t="n">
        <x:f>MAX($G$1070:$G$1075)-G1070</x:f>
        <x:v>0.2715738033218713</x:v>
      </x:c>
      <x:c r="R1070" s="73" t="str">
        <x:f>INDEX(TrackMap!$B$8:$B$141,H1070)</x:f>
        <x:v>东侧上行弯</x:v>
      </x:c>
    </x:row>
    <x:row r="1071" ht="20" customHeight="1">
      <x:c r="A1071" s="73" t="n">
        <x:v>177</x:v>
      </x:c>
      <x:c r="B1071" s="73" t="n">
        <x:v>2</x:v>
      </x:c>
      <x:c r="C1071" s="73" t="str">
        <x:f>INDEX(Drivers!$B$8:$B$13,B1071)</x:f>
        <x:v>蓝电</x:v>
      </x:c>
      <x:c r="D1071" s="83" t="n">
        <x:f>G1065</x:f>
        <x:v>585.2749608027983</x:v>
      </x:c>
      <x:c r="E1071" s="83" t="str">
        <x:f>IF(A1071=0,"GRID",IF(D1071&gt;=Control!$B$17,"FINISHED",IF(AND(A1071&gt;=INDEX(Drivers!$G$8:$G$13,B1071),A1071&lt;INDEX(Drivers!$G$8:$G$13,B1071)+INDEX(Drivers!$J$8:$J$13,B1071)),"PIT",IF(MOD(A1071+INDEX(Drivers!$F$8:$F$13,B1071),Control!$B$11)&lt;Control!$B$13,"BOOST","RACE"))))</x:f>
        <x:v>BOOST</x:v>
      </x:c>
      <x:c r="F1071" s="83" t="n">
        <x:f>IF(OR(E1071="GRID",E1071="FINISHED",E1071="PIT"),0,MAX(Control!$B$15,(INDEX(Drivers!$D$8:$D$13,B1071)+INDEX(Drivers!$E$8:$E$13,B1071)*SIN((A1071+INDEX(Drivers!$F$8:$F$13,B1071)+Control!$B$16)*Control!$B$14))*INDEX(TrackMap!$M$8:$M$141,MOD(INT(D1071)-1,Control!$B$7)+1)*IF(E1071="BOOST",Control!$B$12,1)))</x:f>
        <x:v>4.149937961795413</x:v>
      </x:c>
      <x:c r="G1071" s="83" t="n">
        <x:f>IF(A1071=0,D1071,MIN(Control!$B$17,D1071+F1071))</x:f>
        <x:v>589.4248987645938</x:v>
      </x:c>
      <x:c r="H1071" s="73" t="n">
        <x:f>MOD(INT(G1071)-1,Control!$B$7)+1</x:f>
        <x:v>53</x:v>
      </x:c>
      <x:c r="I1071" s="73" t="n">
        <x:f>MIN(Control!$B$6,MAX(1,INT(MAX(0,G1071)/Control!$B$7)+1))</x:f>
        <x:v>5</x:v>
      </x:c>
      <x:c r="J1071" s="73" t="n">
        <x:f>INDEX(Drivers!$H$8:$H$13,B1071)</x:f>
        <x:v>2</x:v>
      </x:c>
      <x:c r="K1071" s="73" t="n">
        <x:f>IF(J1071=1,INDEX(TrackMap!$I$8:$I$141,H1071),INDEX(TrackMap!$L$8:$L$141,H1071))</x:f>
        <x:v>1526</x:v>
      </x:c>
      <x:c r="L1071" s="73" t="str">
        <x:f>INDEX(TrackMap!$F$8:$F$141,H1071)</x:f>
        <x:v>→</x:v>
      </x:c>
      <x:c r="M1071" s="87" t="n">
        <x:f>MAX(0,G1071/Control!$B$17)</x:f>
        <x:v>0.879738654872528</x:v>
      </x:c>
      <x:c r="N1071" s="73" t="n">
        <x:f>IF(N1065&gt;0,N1065,IF(G1071&gt;=Control!$B$17,A1071,0))</x:f>
        <x:v>0</x:v>
      </x:c>
      <x:c r="O1071" s="91" t="n">
        <x:f>IF(N1071&gt;0,Control!$B$17+Control!$B$8+1-N1071,G1071)-B1071/100000</x:f>
        <x:v>589.4248787645938</x:v>
      </x:c>
      <x:c r="P1071" s="73" t="n">
        <x:f>COUNTIF($O$1070:$O$1075,"&gt;"&amp;O1071)+1</x:f>
        <x:v>6</x:v>
      </x:c>
      <x:c r="Q1071" s="83" t="n">
        <x:f>MAX($G$1070:$G$1075)-G1071</x:f>
        <x:v>20.380178798475526</x:v>
      </x:c>
      <x:c r="R1071" s="73" t="str">
        <x:f>INDEX(TrackMap!$B$8:$B$141,H1071)</x:f>
        <x:v>中央高速直道</x:v>
      </x:c>
    </x:row>
    <x:row r="1072" ht="20" customHeight="1">
      <x:c r="A1072" s="73" t="n">
        <x:v>177</x:v>
      </x:c>
      <x:c r="B1072" s="73" t="n">
        <x:v>3</x:v>
      </x:c>
      <x:c r="C1072" s="73" t="str">
        <x:f>INDEX(Drivers!$B$8:$B$13,B1072)</x:f>
        <x:v>金翼</x:v>
      </x:c>
      <x:c r="D1072" s="83" t="n">
        <x:f>G1066</x:f>
        <x:v>606.7488174768249</x:v>
      </x:c>
      <x:c r="E1072" s="83" t="str">
        <x:f>IF(A1072=0,"GRID",IF(D1072&gt;=Control!$B$17,"FINISHED",IF(AND(A1072&gt;=INDEX(Drivers!$G$8:$G$13,B1072),A1072&lt;INDEX(Drivers!$G$8:$G$13,B1072)+INDEX(Drivers!$J$8:$J$13,B1072)),"PIT",IF(MOD(A1072+INDEX(Drivers!$F$8:$F$13,B1072),Control!$B$11)&lt;Control!$B$13,"BOOST","RACE"))))</x:f>
        <x:v>RACE</x:v>
      </x:c>
      <x:c r="F1072" s="83" t="n">
        <x:f>IF(OR(E1072="GRID",E1072="FINISHED",E1072="PIT"),0,MAX(Control!$B$15,(INDEX(Drivers!$D$8:$D$13,B1072)+INDEX(Drivers!$E$8:$E$13,B1072)*SIN((A1072+INDEX(Drivers!$F$8:$F$13,B1072)+Control!$B$16)*Control!$B$14))*INDEX(TrackMap!$M$8:$M$141,MOD(INT(D1072)-1,Control!$B$7)+1)*IF(E1072="BOOST",Control!$B$12,1)))</x:f>
        <x:v>3.0562600862443436</x:v>
      </x:c>
      <x:c r="G1072" s="83" t="n">
        <x:f>IF(A1072=0,D1072,MIN(Control!$B$17,D1072+F1072))</x:f>
        <x:v>609.8050775630693</x:v>
      </x:c>
      <x:c r="H1072" s="73" t="n">
        <x:f>MOD(INT(G1072)-1,Control!$B$7)+1</x:f>
        <x:v>73</x:v>
      </x:c>
      <x:c r="I1072" s="73" t="n">
        <x:f>MIN(Control!$B$6,MAX(1,INT(MAX(0,G1072)/Control!$B$7)+1))</x:f>
        <x:v>5</x:v>
      </x:c>
      <x:c r="J1072" s="73" t="n">
        <x:f>INDEX(Drivers!$H$8:$H$13,B1072)</x:f>
        <x:v>1</x:v>
      </x:c>
      <x:c r="K1072" s="73" t="n">
        <x:f>IF(J1072=1,INDEX(TrackMap!$I$8:$I$141,H1072),INDEX(TrackMap!$L$8:$L$141,H1072))</x:f>
        <x:v>1346</x:v>
      </x:c>
      <x:c r="L1072" s="73" t="str">
        <x:f>INDEX(TrackMap!$F$8:$F$141,H1072)</x:f>
        <x:v>↑</x:v>
      </x:c>
      <x:c r="M1072" s="87" t="n">
        <x:f>MAX(0,G1072/Control!$B$17)</x:f>
        <x:v>0.9101568321836855</x:v>
      </x:c>
      <x:c r="N1072" s="73" t="n">
        <x:f>IF(N1066&gt;0,N1066,IF(G1072&gt;=Control!$B$17,A1072,0))</x:f>
        <x:v>0</x:v>
      </x:c>
      <x:c r="O1072" s="91" t="n">
        <x:f>IF(N1072&gt;0,Control!$B$17+Control!$B$8+1-N1072,G1072)-B1072/100000</x:f>
        <x:v>609.8050475630693</x:v>
      </x:c>
      <x:c r="P1072" s="73" t="n">
        <x:f>COUNTIF($O$1070:$O$1075,"&gt;"&amp;O1072)+1</x:f>
        <x:v>1</x:v>
      </x:c>
      <x:c r="Q1072" s="83" t="n">
        <x:f>MAX($G$1070:$G$1075)-G1072</x:f>
        <x:v>0</x:v>
      </x:c>
      <x:c r="R1072" s="73" t="str">
        <x:f>INDEX(TrackMap!$B$8:$B$141,H1072)</x:f>
        <x:v>东侧上行弯</x:v>
      </x:c>
    </x:row>
    <x:row r="1073" ht="20" customHeight="1">
      <x:c r="A1073" s="73" t="n">
        <x:v>177</x:v>
      </x:c>
      <x:c r="B1073" s="73" t="n">
        <x:v>4</x:v>
      </x:c>
      <x:c r="C1073" s="73" t="str">
        <x:f>INDEX(Drivers!$B$8:$B$13,B1073)</x:f>
        <x:v>紫影</x:v>
      </x:c>
      <x:c r="D1073" s="83" t="n">
        <x:f>G1067</x:f>
        <x:v>593.0010464001427</x:v>
      </x:c>
      <x:c r="E1073" s="83" t="str">
        <x:f>IF(A1073=0,"GRID",IF(D1073&gt;=Control!$B$17,"FINISHED",IF(AND(A1073&gt;=INDEX(Drivers!$G$8:$G$13,B1073),A1073&lt;INDEX(Drivers!$G$8:$G$13,B1073)+INDEX(Drivers!$J$8:$J$13,B1073)),"PIT",IF(MOD(A1073+INDEX(Drivers!$F$8:$F$13,B1073),Control!$B$11)&lt;Control!$B$13,"BOOST","RACE"))))</x:f>
        <x:v>RACE</x:v>
      </x:c>
      <x:c r="F1073" s="83" t="n">
        <x:f>IF(OR(E1073="GRID",E1073="FINISHED",E1073="PIT"),0,MAX(Control!$B$15,(INDEX(Drivers!$D$8:$D$13,B1073)+INDEX(Drivers!$E$8:$E$13,B1073)*SIN((A1073+INDEX(Drivers!$F$8:$F$13,B1073)+Control!$B$16)*Control!$B$14))*INDEX(TrackMap!$M$8:$M$141,MOD(INT(D1073)-1,Control!$B$7)+1)*IF(E1073="BOOST",Control!$B$12,1)))</x:f>
        <x:v>3.6577973899022296</x:v>
      </x:c>
      <x:c r="G1073" s="83" t="n">
        <x:f>IF(A1073=0,D1073,MIN(Control!$B$17,D1073+F1073))</x:f>
        <x:v>596.658843790045</x:v>
      </x:c>
      <x:c r="H1073" s="73" t="n">
        <x:f>MOD(INT(G1073)-1,Control!$B$7)+1</x:f>
        <x:v>60</x:v>
      </x:c>
      <x:c r="I1073" s="73" t="n">
        <x:f>MIN(Control!$B$6,MAX(1,INT(MAX(0,G1073)/Control!$B$7)+1))</x:f>
        <x:v>5</x:v>
      </x:c>
      <x:c r="J1073" s="73" t="n">
        <x:f>INDEX(Drivers!$H$8:$H$13,B1073)</x:f>
        <x:v>2</x:v>
      </x:c>
      <x:c r="K1073" s="73" t="n">
        <x:f>IF(J1073=1,INDEX(TrackMap!$I$8:$I$141,H1073),INDEX(TrackMap!$L$8:$L$141,H1073))</x:f>
        <x:v>1533</x:v>
      </x:c>
      <x:c r="L1073" s="73" t="str">
        <x:f>INDEX(TrackMap!$F$8:$F$141,H1073)</x:f>
        <x:v>→</x:v>
      </x:c>
      <x:c r="M1073" s="87" t="n">
        <x:f>MAX(0,G1073/Control!$B$17)</x:f>
        <x:v>0.8905355877463358</x:v>
      </x:c>
      <x:c r="N1073" s="73" t="n">
        <x:f>IF(N1067&gt;0,N1067,IF(G1073&gt;=Control!$B$17,A1073,0))</x:f>
        <x:v>0</x:v>
      </x:c>
      <x:c r="O1073" s="91" t="n">
        <x:f>IF(N1073&gt;0,Control!$B$17+Control!$B$8+1-N1073,G1073)-B1073/100000</x:f>
        <x:v>596.658803790045</x:v>
      </x:c>
      <x:c r="P1073" s="73" t="n">
        <x:f>COUNTIF($O$1070:$O$1075,"&gt;"&amp;O1073)+1</x:f>
        <x:v>5</x:v>
      </x:c>
      <x:c r="Q1073" s="83" t="n">
        <x:f>MAX($G$1070:$G$1075)-G1073</x:f>
        <x:v>13.146233773024278</x:v>
      </x:c>
      <x:c r="R1073" s="73" t="str">
        <x:f>INDEX(TrackMap!$B$8:$B$141,H1073)</x:f>
        <x:v>中央高速直道</x:v>
      </x:c>
    </x:row>
    <x:row r="1074" ht="20" customHeight="1">
      <x:c r="A1074" s="73" t="n">
        <x:v>177</x:v>
      </x:c>
      <x:c r="B1074" s="73" t="n">
        <x:v>5</x:v>
      </x:c>
      <x:c r="C1074" s="73" t="str">
        <x:f>INDEX(Drivers!$B$8:$B$13,B1074)</x:f>
        <x:v>青锋</x:v>
      </x:c>
      <x:c r="D1074" s="83" t="n">
        <x:f>G1068</x:f>
        <x:v>600.1385790372909</x:v>
      </x:c>
      <x:c r="E1074" s="83" t="str">
        <x:f>IF(A1074=0,"GRID",IF(D1074&gt;=Control!$B$17,"FINISHED",IF(AND(A1074&gt;=INDEX(Drivers!$G$8:$G$13,B1074),A1074&lt;INDEX(Drivers!$G$8:$G$13,B1074)+INDEX(Drivers!$J$8:$J$13,B1074)),"PIT",IF(MOD(A1074+INDEX(Drivers!$F$8:$F$13,B1074),Control!$B$11)&lt;Control!$B$13,"BOOST","RACE"))))</x:f>
        <x:v>RACE</x:v>
      </x:c>
      <x:c r="F1074" s="83" t="n">
        <x:f>IF(OR(E1074="GRID",E1074="FINISHED",E1074="PIT"),0,MAX(Control!$B$15,(INDEX(Drivers!$D$8:$D$13,B1074)+INDEX(Drivers!$E$8:$E$13,B1074)*SIN((A1074+INDEX(Drivers!$F$8:$F$13,B1074)+Control!$B$16)*Control!$B$14))*INDEX(TrackMap!$M$8:$M$141,MOD(INT(D1074)-1,Control!$B$7)+1)*IF(E1074="BOOST",Control!$B$12,1)))</x:f>
        <x:v>3.685343120798121</x:v>
      </x:c>
      <x:c r="G1074" s="83" t="n">
        <x:f>IF(A1074=0,D1074,MIN(Control!$B$17,D1074+F1074))</x:f>
        <x:v>603.8239221580891</x:v>
      </x:c>
      <x:c r="H1074" s="73" t="n">
        <x:f>MOD(INT(G1074)-1,Control!$B$7)+1</x:f>
        <x:v>67</x:v>
      </x:c>
      <x:c r="I1074" s="73" t="n">
        <x:f>MIN(Control!$B$6,MAX(1,INT(MAX(0,G1074)/Control!$B$7)+1))</x:f>
        <x:v>5</x:v>
      </x:c>
      <x:c r="J1074" s="73" t="n">
        <x:f>INDEX(Drivers!$H$8:$H$13,B1074)</x:f>
        <x:v>1</x:v>
      </x:c>
      <x:c r="K1074" s="73" t="n">
        <x:f>IF(J1074=1,INDEX(TrackMap!$I$8:$I$141,H1074),INDEX(TrackMap!$L$8:$L$141,H1074))</x:f>
        <x:v>1640</x:v>
      </x:c>
      <x:c r="L1074" s="73" t="str">
        <x:f>INDEX(TrackMap!$F$8:$F$141,H1074)</x:f>
        <x:v>→</x:v>
      </x:c>
      <x:c r="M1074" s="87" t="n">
        <x:f>MAX(0,G1074/Control!$B$17)</x:f>
        <x:v>0.9012297345643121</x:v>
      </x:c>
      <x:c r="N1074" s="73" t="n">
        <x:f>IF(N1068&gt;0,N1068,IF(G1074&gt;=Control!$B$17,A1074,0))</x:f>
        <x:v>0</x:v>
      </x:c>
      <x:c r="O1074" s="91" t="n">
        <x:f>IF(N1074&gt;0,Control!$B$17+Control!$B$8+1-N1074,G1074)-B1074/100000</x:f>
        <x:v>603.8238721580891</x:v>
      </x:c>
      <x:c r="P1074" s="73" t="n">
        <x:f>COUNTIF($O$1070:$O$1075,"&gt;"&amp;O1074)+1</x:f>
        <x:v>4</x:v>
      </x:c>
      <x:c r="Q1074" s="83" t="n">
        <x:f>MAX($G$1070:$G$1075)-G1074</x:f>
        <x:v>5.9811554049802</x:v>
      </x:c>
      <x:c r="R1074" s="73" t="str">
        <x:f>INDEX(TrackMap!$B$8:$B$141,H1074)</x:f>
        <x:v>中央高速直道</x:v>
      </x:c>
    </x:row>
    <x:row r="1075" ht="20" customHeight="1">
      <x:c r="A1075" s="73" t="n">
        <x:v>177</x:v>
      </x:c>
      <x:c r="B1075" s="73" t="n">
        <x:v>6</x:v>
      </x:c>
      <x:c r="C1075" s="73" t="str">
        <x:f>INDEX(Drivers!$B$8:$B$13,B1075)</x:f>
        <x:v>玫速</x:v>
      </x:c>
      <x:c r="D1075" s="83" t="n">
        <x:f>G1069</x:f>
        <x:v>601.7159691869223</x:v>
      </x:c>
      <x:c r="E1075" s="83" t="str">
        <x:f>IF(A1075=0,"GRID",IF(D1075&gt;=Control!$B$17,"FINISHED",IF(AND(A1075&gt;=INDEX(Drivers!$G$8:$G$13,B1075),A1075&lt;INDEX(Drivers!$G$8:$G$13,B1075)+INDEX(Drivers!$J$8:$J$13,B1075)),"PIT",IF(MOD(A1075+INDEX(Drivers!$F$8:$F$13,B1075),Control!$B$11)&lt;Control!$B$13,"BOOST","RACE"))))</x:f>
        <x:v>RACE</x:v>
      </x:c>
      <x:c r="F1075" s="83" t="n">
        <x:f>IF(OR(E1075="GRID",E1075="FINISHED",E1075="PIT"),0,MAX(Control!$B$15,(INDEX(Drivers!$D$8:$D$13,B1075)+INDEX(Drivers!$E$8:$E$13,B1075)*SIN((A1075+INDEX(Drivers!$F$8:$F$13,B1075)+Control!$B$16)*Control!$B$14))*INDEX(TrackMap!$M$8:$M$141,MOD(INT(D1075)-1,Control!$B$7)+1)*IF(E1075="BOOST",Control!$B$12,1)))</x:f>
        <x:v>3.3129724332245467</x:v>
      </x:c>
      <x:c r="G1075" s="83" t="n">
        <x:f>IF(A1075=0,D1075,MIN(Control!$B$17,D1075+F1075))</x:f>
        <x:v>605.0289416201468</x:v>
      </x:c>
      <x:c r="H1075" s="73" t="n">
        <x:f>MOD(INT(G1075)-1,Control!$B$7)+1</x:f>
        <x:v>69</x:v>
      </x:c>
      <x:c r="I1075" s="73" t="n">
        <x:f>MIN(Control!$B$6,MAX(1,INT(MAX(0,G1075)/Control!$B$7)+1))</x:f>
        <x:v>5</x:v>
      </x:c>
      <x:c r="J1075" s="73" t="n">
        <x:f>INDEX(Drivers!$H$8:$H$13,B1075)</x:f>
        <x:v>2</x:v>
      </x:c>
      <x:c r="K1075" s="73" t="n">
        <x:f>IF(J1075=1,INDEX(TrackMap!$I$8:$I$141,H1075),INDEX(TrackMap!$L$8:$L$141,H1075))</x:f>
        <x:v>1542</x:v>
      </x:c>
      <x:c r="L1075" s="73" t="str">
        <x:f>INDEX(TrackMap!$F$8:$F$141,H1075)</x:f>
        <x:v>→</x:v>
      </x:c>
      <x:c r="M1075" s="87" t="n">
        <x:f>MAX(0,G1075/Control!$B$17)</x:f>
        <x:v>0.9030282710748461</x:v>
      </x:c>
      <x:c r="N1075" s="73" t="n">
        <x:f>IF(N1069&gt;0,N1069,IF(G1075&gt;=Control!$B$17,A1075,0))</x:f>
        <x:v>0</x:v>
      </x:c>
      <x:c r="O1075" s="91" t="n">
        <x:f>IF(N1075&gt;0,Control!$B$17+Control!$B$8+1-N1075,G1075)-B1075/100000</x:f>
        <x:v>605.0288816201469</x:v>
      </x:c>
      <x:c r="P1075" s="73" t="n">
        <x:f>COUNTIF($O$1070:$O$1075,"&gt;"&amp;O1075)+1</x:f>
        <x:v>3</x:v>
      </x:c>
      <x:c r="Q1075" s="83" t="n">
        <x:f>MAX($G$1070:$G$1075)-G1075</x:f>
        <x:v>4.776135942922451</x:v>
      </x:c>
      <x:c r="R1075" s="73" t="str">
        <x:f>INDEX(TrackMap!$B$8:$B$141,H1075)</x:f>
        <x:v>中央高速直道</x:v>
      </x:c>
    </x:row>
    <x:row r="1076" ht="20" customHeight="1">
      <x:c r="A1076" s="73" t="n">
        <x:v>178</x:v>
      </x:c>
      <x:c r="B1076" s="73" t="n">
        <x:v>1</x:v>
      </x:c>
      <x:c r="C1076" s="73" t="str">
        <x:f>INDEX(Drivers!$B$8:$B$13,B1076)</x:f>
        <x:v>赤焰</x:v>
      </x:c>
      <x:c r="D1076" s="83" t="n">
        <x:f>G1070</x:f>
        <x:v>609.5335037597474</x:v>
      </x:c>
      <x:c r="E1076" s="83" t="str">
        <x:f>IF(A1076=0,"GRID",IF(D1076&gt;=Control!$B$17,"FINISHED",IF(AND(A1076&gt;=INDEX(Drivers!$G$8:$G$13,B1076),A1076&lt;INDEX(Drivers!$G$8:$G$13,B1076)+INDEX(Drivers!$J$8:$J$13,B1076)),"PIT",IF(MOD(A1076+INDEX(Drivers!$F$8:$F$13,B1076),Control!$B$11)&lt;Control!$B$13,"BOOST","RACE"))))</x:f>
        <x:v>RACE</x:v>
      </x:c>
      <x:c r="F1076" s="83" t="n">
        <x:f>IF(OR(E1076="GRID",E1076="FINISHED",E1076="PIT"),0,MAX(Control!$B$15,(INDEX(Drivers!$D$8:$D$13,B1076)+INDEX(Drivers!$E$8:$E$13,B1076)*SIN((A1076+INDEX(Drivers!$F$8:$F$13,B1076)+Control!$B$16)*Control!$B$14))*INDEX(TrackMap!$M$8:$M$141,MOD(INT(D1076)-1,Control!$B$7)+1)*IF(E1076="BOOST",Control!$B$12,1)))</x:f>
        <x:v>3.2493746717666228</x:v>
      </x:c>
      <x:c r="G1076" s="83" t="n">
        <x:f>IF(A1076=0,D1076,MIN(Control!$B$17,D1076+F1076))</x:f>
        <x:v>612.7828784315141</x:v>
      </x:c>
      <x:c r="H1076" s="73" t="n">
        <x:f>MOD(INT(G1076)-1,Control!$B$7)+1</x:f>
        <x:v>76</x:v>
      </x:c>
      <x:c r="I1076" s="73" t="n">
        <x:f>MIN(Control!$B$6,MAX(1,INT(MAX(0,G1076)/Control!$B$7)+1))</x:f>
        <x:v>5</x:v>
      </x:c>
      <x:c r="J1076" s="73" t="n">
        <x:f>INDEX(Drivers!$H$8:$H$13,B1076)</x:f>
        <x:v>1</x:v>
      </x:c>
      <x:c r="K1076" s="73" t="n">
        <x:f>IF(J1076=1,INDEX(TrackMap!$I$8:$I$141,H1076),INDEX(TrackMap!$L$8:$L$141,H1076))</x:f>
        <x:v>1046</x:v>
      </x:c>
      <x:c r="L1076" s="73" t="str">
        <x:f>INDEX(TrackMap!$F$8:$F$141,H1076)</x:f>
        <x:v>↑</x:v>
      </x:c>
      <x:c r="M1076" s="87" t="n">
        <x:f>MAX(0,G1076/Control!$B$17)</x:f>
        <x:v>0.9146013110918121</x:v>
      </x:c>
      <x:c r="N1076" s="73" t="n">
        <x:f>IF(N1070&gt;0,N1070,IF(G1076&gt;=Control!$B$17,A1076,0))</x:f>
        <x:v>0</x:v>
      </x:c>
      <x:c r="O1076" s="91" t="n">
        <x:f>IF(N1076&gt;0,Control!$B$17+Control!$B$8+1-N1076,G1076)-B1076/100000</x:f>
        <x:v>612.7828684315141</x:v>
      </x:c>
      <x:c r="P1076" s="73" t="n">
        <x:f>COUNTIF($O$1076:$O$1081,"&gt;"&amp;O1076)+1</x:f>
        <x:v>2</x:v>
      </x:c>
      <x:c r="Q1076" s="83" t="n">
        <x:f>MAX($G$1076:$G$1081)-G1076</x:f>
        <x:v>0.19381817224018505</x:v>
      </x:c>
      <x:c r="R1076" s="73" t="str">
        <x:f>INDEX(TrackMap!$B$8:$B$141,H1076)</x:f>
        <x:v>东侧上行弯</x:v>
      </x:c>
    </x:row>
    <x:row r="1077" ht="20" customHeight="1">
      <x:c r="A1077" s="73" t="n">
        <x:v>178</x:v>
      </x:c>
      <x:c r="B1077" s="73" t="n">
        <x:v>2</x:v>
      </x:c>
      <x:c r="C1077" s="73" t="str">
        <x:f>INDEX(Drivers!$B$8:$B$13,B1077)</x:f>
        <x:v>蓝电</x:v>
      </x:c>
      <x:c r="D1077" s="83" t="n">
        <x:f>G1071</x:f>
        <x:v>589.4248987645938</x:v>
      </x:c>
      <x:c r="E1077" s="83" t="str">
        <x:f>IF(A1077=0,"GRID",IF(D1077&gt;=Control!$B$17,"FINISHED",IF(AND(A1077&gt;=INDEX(Drivers!$G$8:$G$13,B1077),A1077&lt;INDEX(Drivers!$G$8:$G$13,B1077)+INDEX(Drivers!$J$8:$J$13,B1077)),"PIT",IF(MOD(A1077+INDEX(Drivers!$F$8:$F$13,B1077),Control!$B$11)&lt;Control!$B$13,"BOOST","RACE"))))</x:f>
        <x:v>BOOST</x:v>
      </x:c>
      <x:c r="F1077" s="83" t="n">
        <x:f>IF(OR(E1077="GRID",E1077="FINISHED",E1077="PIT"),0,MAX(Control!$B$15,(INDEX(Drivers!$D$8:$D$13,B1077)+INDEX(Drivers!$E$8:$E$13,B1077)*SIN((A1077+INDEX(Drivers!$F$8:$F$13,B1077)+Control!$B$16)*Control!$B$14))*INDEX(TrackMap!$M$8:$M$141,MOD(INT(D1077)-1,Control!$B$7)+1)*IF(E1077="BOOST",Control!$B$12,1)))</x:f>
        <x:v>4.038734704573553</x:v>
      </x:c>
      <x:c r="G1077" s="83" t="n">
        <x:f>IF(A1077=0,D1077,MIN(Control!$B$17,D1077+F1077))</x:f>
        <x:v>593.4636334691673</x:v>
      </x:c>
      <x:c r="H1077" s="73" t="n">
        <x:f>MOD(INT(G1077)-1,Control!$B$7)+1</x:f>
        <x:v>57</x:v>
      </x:c>
      <x:c r="I1077" s="73" t="n">
        <x:f>MIN(Control!$B$6,MAX(1,INT(MAX(0,G1077)/Control!$B$7)+1))</x:f>
        <x:v>5</x:v>
      </x:c>
      <x:c r="J1077" s="73" t="n">
        <x:f>INDEX(Drivers!$H$8:$H$13,B1077)</x:f>
        <x:v>2</x:v>
      </x:c>
      <x:c r="K1077" s="73" t="n">
        <x:f>IF(J1077=1,INDEX(TrackMap!$I$8:$I$141,H1077),INDEX(TrackMap!$L$8:$L$141,H1077))</x:f>
        <x:v>1530</x:v>
      </x:c>
      <x:c r="L1077" s="73" t="str">
        <x:f>INDEX(TrackMap!$F$8:$F$141,H1077)</x:f>
        <x:v>→</x:v>
      </x:c>
      <x:c r="M1077" s="87" t="n">
        <x:f>MAX(0,G1077/Control!$B$17)</x:f>
        <x:v>0.8857666171181602</x:v>
      </x:c>
      <x:c r="N1077" s="73" t="n">
        <x:f>IF(N1071&gt;0,N1071,IF(G1077&gt;=Control!$B$17,A1077,0))</x:f>
        <x:v>0</x:v>
      </x:c>
      <x:c r="O1077" s="91" t="n">
        <x:f>IF(N1077&gt;0,Control!$B$17+Control!$B$8+1-N1077,G1077)-B1077/100000</x:f>
        <x:v>593.4636134691674</x:v>
      </x:c>
      <x:c r="P1077" s="73" t="n">
        <x:f>COUNTIF($O$1076:$O$1081,"&gt;"&amp;O1077)+1</x:f>
        <x:v>6</x:v>
      </x:c>
      <x:c r="Q1077" s="83" t="n">
        <x:f>MAX($G$1076:$G$1081)-G1077</x:f>
        <x:v>19.5130631345869</x:v>
      </x:c>
      <x:c r="R1077" s="73" t="str">
        <x:f>INDEX(TrackMap!$B$8:$B$141,H1077)</x:f>
        <x:v>中央高速直道</x:v>
      </x:c>
    </x:row>
    <x:row r="1078" ht="20" customHeight="1">
      <x:c r="A1078" s="73" t="n">
        <x:v>178</x:v>
      </x:c>
      <x:c r="B1078" s="73" t="n">
        <x:v>3</x:v>
      </x:c>
      <x:c r="C1078" s="73" t="str">
        <x:f>INDEX(Drivers!$B$8:$B$13,B1078)</x:f>
        <x:v>金翼</x:v>
      </x:c>
      <x:c r="D1078" s="83" t="n">
        <x:f>G1072</x:f>
        <x:v>609.8050775630693</x:v>
      </x:c>
      <x:c r="E1078" s="83" t="str">
        <x:f>IF(A1078=0,"GRID",IF(D1078&gt;=Control!$B$17,"FINISHED",IF(AND(A1078&gt;=INDEX(Drivers!$G$8:$G$13,B1078),A1078&lt;INDEX(Drivers!$G$8:$G$13,B1078)+INDEX(Drivers!$J$8:$J$13,B1078)),"PIT",IF(MOD(A1078+INDEX(Drivers!$F$8:$F$13,B1078),Control!$B$11)&lt;Control!$B$13,"BOOST","RACE"))))</x:f>
        <x:v>RACE</x:v>
      </x:c>
      <x:c r="F1078" s="83" t="n">
        <x:f>IF(OR(E1078="GRID",E1078="FINISHED",E1078="PIT"),0,MAX(Control!$B$15,(INDEX(Drivers!$D$8:$D$13,B1078)+INDEX(Drivers!$E$8:$E$13,B1078)*SIN((A1078+INDEX(Drivers!$F$8:$F$13,B1078)+Control!$B$16)*Control!$B$14))*INDEX(TrackMap!$M$8:$M$141,MOD(INT(D1078)-1,Control!$B$7)+1)*IF(E1078="BOOST",Control!$B$12,1)))</x:f>
        <x:v>3.1716190406849774</x:v>
      </x:c>
      <x:c r="G1078" s="83" t="n">
        <x:f>IF(A1078=0,D1078,MIN(Control!$B$17,D1078+F1078))</x:f>
        <x:v>612.9766966037542</x:v>
      </x:c>
      <x:c r="H1078" s="73" t="n">
        <x:f>MOD(INT(G1078)-1,Control!$B$7)+1</x:f>
        <x:v>76</x:v>
      </x:c>
      <x:c r="I1078" s="73" t="n">
        <x:f>MIN(Control!$B$6,MAX(1,INT(MAX(0,G1078)/Control!$B$7)+1))</x:f>
        <x:v>5</x:v>
      </x:c>
      <x:c r="J1078" s="73" t="n">
        <x:f>INDEX(Drivers!$H$8:$H$13,B1078)</x:f>
        <x:v>1</x:v>
      </x:c>
      <x:c r="K1078" s="73" t="n">
        <x:f>IF(J1078=1,INDEX(TrackMap!$I$8:$I$141,H1078),INDEX(TrackMap!$L$8:$L$141,H1078))</x:f>
        <x:v>1046</x:v>
      </x:c>
      <x:c r="L1078" s="73" t="str">
        <x:f>INDEX(TrackMap!$F$8:$F$141,H1078)</x:f>
        <x:v>↑</x:v>
      </x:c>
      <x:c r="M1078" s="87" t="n">
        <x:f>MAX(0,G1078/Control!$B$17)</x:f>
        <x:v>0.9148905919459018</x:v>
      </x:c>
      <x:c r="N1078" s="73" t="n">
        <x:f>IF(N1072&gt;0,N1072,IF(G1078&gt;=Control!$B$17,A1078,0))</x:f>
        <x:v>0</x:v>
      </x:c>
      <x:c r="O1078" s="91" t="n">
        <x:f>IF(N1078&gt;0,Control!$B$17+Control!$B$8+1-N1078,G1078)-B1078/100000</x:f>
        <x:v>612.9766666037542</x:v>
      </x:c>
      <x:c r="P1078" s="73" t="n">
        <x:f>COUNTIF($O$1076:$O$1081,"&gt;"&amp;O1078)+1</x:f>
        <x:v>1</x:v>
      </x:c>
      <x:c r="Q1078" s="83" t="n">
        <x:f>MAX($G$1076:$G$1081)-G1078</x:f>
        <x:v>0</x:v>
      </x:c>
      <x:c r="R1078" s="73" t="str">
        <x:f>INDEX(TrackMap!$B$8:$B$141,H1078)</x:f>
        <x:v>东侧上行弯</x:v>
      </x:c>
    </x:row>
    <x:row r="1079" ht="20" customHeight="1">
      <x:c r="A1079" s="73" t="n">
        <x:v>178</x:v>
      </x:c>
      <x:c r="B1079" s="73" t="n">
        <x:v>4</x:v>
      </x:c>
      <x:c r="C1079" s="73" t="str">
        <x:f>INDEX(Drivers!$B$8:$B$13,B1079)</x:f>
        <x:v>紫影</x:v>
      </x:c>
      <x:c r="D1079" s="83" t="n">
        <x:f>G1073</x:f>
        <x:v>596.658843790045</x:v>
      </x:c>
      <x:c r="E1079" s="83" t="str">
        <x:f>IF(A1079=0,"GRID",IF(D1079&gt;=Control!$B$17,"FINISHED",IF(AND(A1079&gt;=INDEX(Drivers!$G$8:$G$13,B1079),A1079&lt;INDEX(Drivers!$G$8:$G$13,B1079)+INDEX(Drivers!$J$8:$J$13,B1079)),"PIT",IF(MOD(A1079+INDEX(Drivers!$F$8:$F$13,B1079),Control!$B$11)&lt;Control!$B$13,"BOOST","RACE"))))</x:f>
        <x:v>RACE</x:v>
      </x:c>
      <x:c r="F1079" s="83" t="n">
        <x:f>IF(OR(E1079="GRID",E1079="FINISHED",E1079="PIT"),0,MAX(Control!$B$15,(INDEX(Drivers!$D$8:$D$13,B1079)+INDEX(Drivers!$E$8:$E$13,B1079)*SIN((A1079+INDEX(Drivers!$F$8:$F$13,B1079)+Control!$B$16)*Control!$B$14))*INDEX(TrackMap!$M$8:$M$141,MOD(INT(D1079)-1,Control!$B$7)+1)*IF(E1079="BOOST",Control!$B$12,1)))</x:f>
        <x:v>3.4451931056131495</x:v>
      </x:c>
      <x:c r="G1079" s="83" t="n">
        <x:f>IF(A1079=0,D1079,MIN(Control!$B$17,D1079+F1079))</x:f>
        <x:v>600.1040368956582</x:v>
      </x:c>
      <x:c r="H1079" s="73" t="n">
        <x:f>MOD(INT(G1079)-1,Control!$B$7)+1</x:f>
        <x:v>64</x:v>
      </x:c>
      <x:c r="I1079" s="73" t="n">
        <x:f>MIN(Control!$B$6,MAX(1,INT(MAX(0,G1079)/Control!$B$7)+1))</x:f>
        <x:v>5</x:v>
      </x:c>
      <x:c r="J1079" s="73" t="n">
        <x:f>INDEX(Drivers!$H$8:$H$13,B1079)</x:f>
        <x:v>2</x:v>
      </x:c>
      <x:c r="K1079" s="73" t="n">
        <x:f>IF(J1079=1,INDEX(TrackMap!$I$8:$I$141,H1079),INDEX(TrackMap!$L$8:$L$141,H1079))</x:f>
        <x:v>1537</x:v>
      </x:c>
      <x:c r="L1079" s="73" t="str">
        <x:f>INDEX(TrackMap!$F$8:$F$141,H1079)</x:f>
        <x:v>→</x:v>
      </x:c>
      <x:c r="M1079" s="87" t="n">
        <x:f>MAX(0,G1079/Control!$B$17)</x:f>
        <x:v>0.895677667008445</x:v>
      </x:c>
      <x:c r="N1079" s="73" t="n">
        <x:f>IF(N1073&gt;0,N1073,IF(G1079&gt;=Control!$B$17,A1079,0))</x:f>
        <x:v>0</x:v>
      </x:c>
      <x:c r="O1079" s="91" t="n">
        <x:f>IF(N1079&gt;0,Control!$B$17+Control!$B$8+1-N1079,G1079)-B1079/100000</x:f>
        <x:v>600.1039968956582</x:v>
      </x:c>
      <x:c r="P1079" s="73" t="n">
        <x:f>COUNTIF($O$1076:$O$1081,"&gt;"&amp;O1079)+1</x:f>
        <x:v>5</x:v>
      </x:c>
      <x:c r="Q1079" s="83" t="n">
        <x:f>MAX($G$1076:$G$1081)-G1079</x:f>
        <x:v>12.87265970809608</x:v>
      </x:c>
      <x:c r="R1079" s="73" t="str">
        <x:f>INDEX(TrackMap!$B$8:$B$141,H1079)</x:f>
        <x:v>中央高速直道</x:v>
      </x:c>
    </x:row>
    <x:row r="1080" ht="20" customHeight="1">
      <x:c r="A1080" s="73" t="n">
        <x:v>178</x:v>
      </x:c>
      <x:c r="B1080" s="73" t="n">
        <x:v>5</x:v>
      </x:c>
      <x:c r="C1080" s="73" t="str">
        <x:f>INDEX(Drivers!$B$8:$B$13,B1080)</x:f>
        <x:v>青锋</x:v>
      </x:c>
      <x:c r="D1080" s="83" t="n">
        <x:f>G1074</x:f>
        <x:v>603.8239221580891</x:v>
      </x:c>
      <x:c r="E1080" s="83" t="str">
        <x:f>IF(A1080=0,"GRID",IF(D1080&gt;=Control!$B$17,"FINISHED",IF(AND(A1080&gt;=INDEX(Drivers!$G$8:$G$13,B1080),A1080&lt;INDEX(Drivers!$G$8:$G$13,B1080)+INDEX(Drivers!$J$8:$J$13,B1080)),"PIT",IF(MOD(A1080+INDEX(Drivers!$F$8:$F$13,B1080),Control!$B$11)&lt;Control!$B$13,"BOOST","RACE"))))</x:f>
        <x:v>RACE</x:v>
      </x:c>
      <x:c r="F1080" s="83" t="n">
        <x:f>IF(OR(E1080="GRID",E1080="FINISHED",E1080="PIT"),0,MAX(Control!$B$15,(INDEX(Drivers!$D$8:$D$13,B1080)+INDEX(Drivers!$E$8:$E$13,B1080)*SIN((A1080+INDEX(Drivers!$F$8:$F$13,B1080)+Control!$B$16)*Control!$B$14))*INDEX(TrackMap!$M$8:$M$141,MOD(INT(D1080)-1,Control!$B$7)+1)*IF(E1080="BOOST",Control!$B$12,1)))</x:f>
        <x:v>3.4946258919485915</x:v>
      </x:c>
      <x:c r="G1080" s="83" t="n">
        <x:f>IF(A1080=0,D1080,MIN(Control!$B$17,D1080+F1080))</x:f>
        <x:v>607.3185480500376</x:v>
      </x:c>
      <x:c r="H1080" s="73" t="n">
        <x:f>MOD(INT(G1080)-1,Control!$B$7)+1</x:f>
        <x:v>71</x:v>
      </x:c>
      <x:c r="I1080" s="73" t="n">
        <x:f>MIN(Control!$B$6,MAX(1,INT(MAX(0,G1080)/Control!$B$7)+1))</x:f>
        <x:v>5</x:v>
      </x:c>
      <x:c r="J1080" s="73" t="n">
        <x:f>INDEX(Drivers!$H$8:$H$13,B1080)</x:f>
        <x:v>1</x:v>
      </x:c>
      <x:c r="K1080" s="73" t="n">
        <x:f>IF(J1080=1,INDEX(TrackMap!$I$8:$I$141,H1080),INDEX(TrackMap!$L$8:$L$141,H1080))</x:f>
        <x:v>1644</x:v>
      </x:c>
      <x:c r="L1080" s="73" t="str">
        <x:f>INDEX(TrackMap!$F$8:$F$141,H1080)</x:f>
        <x:v>→</x:v>
      </x:c>
      <x:c r="M1080" s="87" t="n">
        <x:f>MAX(0,G1080/Control!$B$17)</x:f>
        <x:v>0.9064455941045337</x:v>
      </x:c>
      <x:c r="N1080" s="73" t="n">
        <x:f>IF(N1074&gt;0,N1074,IF(G1080&gt;=Control!$B$17,A1080,0))</x:f>
        <x:v>0</x:v>
      </x:c>
      <x:c r="O1080" s="91" t="n">
        <x:f>IF(N1080&gt;0,Control!$B$17+Control!$B$8+1-N1080,G1080)-B1080/100000</x:f>
        <x:v>607.3184980500376</x:v>
      </x:c>
      <x:c r="P1080" s="73" t="n">
        <x:f>COUNTIF($O$1076:$O$1081,"&gt;"&amp;O1080)+1</x:f>
        <x:v>4</x:v>
      </x:c>
      <x:c r="Q1080" s="83" t="n">
        <x:f>MAX($G$1076:$G$1081)-G1080</x:f>
        <x:v>5.6581485537166145</x:v>
      </x:c>
      <x:c r="R1080" s="73" t="str">
        <x:f>INDEX(TrackMap!$B$8:$B$141,H1080)</x:f>
        <x:v>中央高速直道</x:v>
      </x:c>
    </x:row>
    <x:row r="1081" ht="20" customHeight="1">
      <x:c r="A1081" s="73" t="n">
        <x:v>178</x:v>
      </x:c>
      <x:c r="B1081" s="73" t="n">
        <x:v>6</x:v>
      </x:c>
      <x:c r="C1081" s="73" t="str">
        <x:f>INDEX(Drivers!$B$8:$B$13,B1081)</x:f>
        <x:v>玫速</x:v>
      </x:c>
      <x:c r="D1081" s="83" t="n">
        <x:f>G1075</x:f>
        <x:v>605.0289416201468</x:v>
      </x:c>
      <x:c r="E1081" s="83" t="str">
        <x:f>IF(A1081=0,"GRID",IF(D1081&gt;=Control!$B$17,"FINISHED",IF(AND(A1081&gt;=INDEX(Drivers!$G$8:$G$13,B1081),A1081&lt;INDEX(Drivers!$G$8:$G$13,B1081)+INDEX(Drivers!$J$8:$J$13,B1081)),"PIT",IF(MOD(A1081+INDEX(Drivers!$F$8:$F$13,B1081),Control!$B$11)&lt;Control!$B$13,"BOOST","RACE"))))</x:f>
        <x:v>RACE</x:v>
      </x:c>
      <x:c r="F1081" s="83" t="n">
        <x:f>IF(OR(E1081="GRID",E1081="FINISHED",E1081="PIT"),0,MAX(Control!$B$15,(INDEX(Drivers!$D$8:$D$13,B1081)+INDEX(Drivers!$E$8:$E$13,B1081)*SIN((A1081+INDEX(Drivers!$F$8:$F$13,B1081)+Control!$B$16)*Control!$B$14))*INDEX(TrackMap!$M$8:$M$141,MOD(INT(D1081)-1,Control!$B$7)+1)*IF(E1081="BOOST",Control!$B$12,1)))</x:f>
        <x:v>3.5094502201964404</x:v>
      </x:c>
      <x:c r="G1081" s="83" t="n">
        <x:f>IF(A1081=0,D1081,MIN(Control!$B$17,D1081+F1081))</x:f>
        <x:v>608.5383918403433</x:v>
      </x:c>
      <x:c r="H1081" s="73" t="n">
        <x:f>MOD(INT(G1081)-1,Control!$B$7)+1</x:f>
        <x:v>72</x:v>
      </x:c>
      <x:c r="I1081" s="73" t="n">
        <x:f>MIN(Control!$B$6,MAX(1,INT(MAX(0,G1081)/Control!$B$7)+1))</x:f>
        <x:v>5</x:v>
      </x:c>
      <x:c r="J1081" s="73" t="n">
        <x:f>INDEX(Drivers!$H$8:$H$13,B1081)</x:f>
        <x:v>2</x:v>
      </x:c>
      <x:c r="K1081" s="73" t="n">
        <x:f>IF(J1081=1,INDEX(TrackMap!$I$8:$I$141,H1081),INDEX(TrackMap!$L$8:$L$141,H1081))</x:f>
        <x:v>1445</x:v>
      </x:c>
      <x:c r="L1081" s="73" t="str">
        <x:f>INDEX(TrackMap!$F$8:$F$141,H1081)</x:f>
        <x:v>↑</x:v>
      </x:c>
      <x:c r="M1081" s="87" t="n">
        <x:f>MAX(0,G1081/Control!$B$17)</x:f>
        <x:v>0.9082662564781242</x:v>
      </x:c>
      <x:c r="N1081" s="73" t="n">
        <x:f>IF(N1075&gt;0,N1075,IF(G1081&gt;=Control!$B$17,A1081,0))</x:f>
        <x:v>0</x:v>
      </x:c>
      <x:c r="O1081" s="91" t="n">
        <x:f>IF(N1081&gt;0,Control!$B$17+Control!$B$8+1-N1081,G1081)-B1081/100000</x:f>
        <x:v>608.5383318403433</x:v>
      </x:c>
      <x:c r="P1081" s="73" t="n">
        <x:f>COUNTIF($O$1076:$O$1081,"&gt;"&amp;O1081)+1</x:f>
        <x:v>3</x:v>
      </x:c>
      <x:c r="Q1081" s="83" t="n">
        <x:f>MAX($G$1076:$G$1081)-G1081</x:f>
        <x:v>4.438304763410997</x:v>
      </x:c>
      <x:c r="R1081" s="73" t="str">
        <x:f>INDEX(TrackMap!$B$8:$B$141,H1081)</x:f>
        <x:v>东侧上行弯</x:v>
      </x:c>
    </x:row>
    <x:row r="1082" ht="20" customHeight="1">
      <x:c r="A1082" s="73" t="n">
        <x:v>179</x:v>
      </x:c>
      <x:c r="B1082" s="73" t="n">
        <x:v>1</x:v>
      </x:c>
      <x:c r="C1082" s="73" t="str">
        <x:f>INDEX(Drivers!$B$8:$B$13,B1082)</x:f>
        <x:v>赤焰</x:v>
      </x:c>
      <x:c r="D1082" s="83" t="n">
        <x:f>G1076</x:f>
        <x:v>612.7828784315141</x:v>
      </x:c>
      <x:c r="E1082" s="83" t="str">
        <x:f>IF(A1082=0,"GRID",IF(D1082&gt;=Control!$B$17,"FINISHED",IF(AND(A1082&gt;=INDEX(Drivers!$G$8:$G$13,B1082),A1082&lt;INDEX(Drivers!$G$8:$G$13,B1082)+INDEX(Drivers!$J$8:$J$13,B1082)),"PIT",IF(MOD(A1082+INDEX(Drivers!$F$8:$F$13,B1082),Control!$B$11)&lt;Control!$B$13,"BOOST","RACE"))))</x:f>
        <x:v>RACE</x:v>
      </x:c>
      <x:c r="F1082" s="83" t="n">
        <x:f>IF(OR(E1082="GRID",E1082="FINISHED",E1082="PIT"),0,MAX(Control!$B$15,(INDEX(Drivers!$D$8:$D$13,B1082)+INDEX(Drivers!$E$8:$E$13,B1082)*SIN((A1082+INDEX(Drivers!$F$8:$F$13,B1082)+Control!$B$16)*Control!$B$14))*INDEX(TrackMap!$M$8:$M$141,MOD(INT(D1082)-1,Control!$B$7)+1)*IF(E1082="BOOST",Control!$B$12,1)))</x:f>
        <x:v>3.1683436014917805</x:v>
      </x:c>
      <x:c r="G1082" s="83" t="n">
        <x:f>IF(A1082=0,D1082,MIN(Control!$B$17,D1082+F1082))</x:f>
        <x:v>615.9512220330058</x:v>
      </x:c>
      <x:c r="H1082" s="73" t="n">
        <x:f>MOD(INT(G1082)-1,Control!$B$7)+1</x:f>
        <x:v>79</x:v>
      </x:c>
      <x:c r="I1082" s="73" t="n">
        <x:f>MIN(Control!$B$6,MAX(1,INT(MAX(0,G1082)/Control!$B$7)+1))</x:f>
        <x:v>5</x:v>
      </x:c>
      <x:c r="J1082" s="73" t="n">
        <x:f>INDEX(Drivers!$H$8:$H$13,B1082)</x:f>
        <x:v>1</x:v>
      </x:c>
      <x:c r="K1082" s="73" t="n">
        <x:f>IF(J1082=1,INDEX(TrackMap!$I$8:$I$141,H1082),INDEX(TrackMap!$L$8:$L$141,H1082))</x:f>
        <x:v>848</x:v>
      </x:c>
      <x:c r="L1082" s="73" t="str">
        <x:f>INDEX(TrackMap!$F$8:$F$141,H1082)</x:f>
        <x:v>→</x:v>
      </x:c>
      <x:c r="M1082" s="87" t="n">
        <x:f>MAX(0,G1082/Control!$B$17)</x:f>
        <x:v>0.9193301821388147</x:v>
      </x:c>
      <x:c r="N1082" s="73" t="n">
        <x:f>IF(N1076&gt;0,N1076,IF(G1082&gt;=Control!$B$17,A1082,0))</x:f>
        <x:v>0</x:v>
      </x:c>
      <x:c r="O1082" s="91" t="n">
        <x:f>IF(N1082&gt;0,Control!$B$17+Control!$B$8+1-N1082,G1082)-B1082/100000</x:f>
        <x:v>615.9512120330058</x:v>
      </x:c>
      <x:c r="P1082" s="73" t="n">
        <x:f>COUNTIF($O$1082:$O$1087,"&gt;"&amp;O1082)+1</x:f>
        <x:v>2</x:v>
      </x:c>
      <x:c r="Q1082" s="83" t="n">
        <x:f>MAX($G$1082:$G$1087)-G1082</x:f>
        <x:v>0.27379536861678844</x:v>
      </x:c>
      <x:c r="R1082" s="73" t="str">
        <x:f>INDEX(TrackMap!$B$8:$B$141,H1082)</x:f>
        <x:v>东侧发卡弯</x:v>
      </x:c>
    </x:row>
    <x:row r="1083" ht="20" customHeight="1">
      <x:c r="A1083" s="73" t="n">
        <x:v>179</x:v>
      </x:c>
      <x:c r="B1083" s="73" t="n">
        <x:v>2</x:v>
      </x:c>
      <x:c r="C1083" s="73" t="str">
        <x:f>INDEX(Drivers!$B$8:$B$13,B1083)</x:f>
        <x:v>蓝电</x:v>
      </x:c>
      <x:c r="D1083" s="83" t="n">
        <x:f>G1077</x:f>
        <x:v>593.4636334691673</x:v>
      </x:c>
      <x:c r="E1083" s="83" t="str">
        <x:f>IF(A1083=0,"GRID",IF(D1083&gt;=Control!$B$17,"FINISHED",IF(AND(A1083&gt;=INDEX(Drivers!$G$8:$G$13,B1083),A1083&lt;INDEX(Drivers!$G$8:$G$13,B1083)+INDEX(Drivers!$J$8:$J$13,B1083)),"PIT",IF(MOD(A1083+INDEX(Drivers!$F$8:$F$13,B1083),Control!$B$11)&lt;Control!$B$13,"BOOST","RACE"))))</x:f>
        <x:v>BOOST</x:v>
      </x:c>
      <x:c r="F1083" s="83" t="n">
        <x:f>IF(OR(E1083="GRID",E1083="FINISHED",E1083="PIT"),0,MAX(Control!$B$15,(INDEX(Drivers!$D$8:$D$13,B1083)+INDEX(Drivers!$E$8:$E$13,B1083)*SIN((A1083+INDEX(Drivers!$F$8:$F$13,B1083)+Control!$B$16)*Control!$B$14))*INDEX(TrackMap!$M$8:$M$141,MOD(INT(D1083)-1,Control!$B$7)+1)*IF(E1083="BOOST",Control!$B$12,1)))</x:f>
        <x:v>4.03503152902072</x:v>
      </x:c>
      <x:c r="G1083" s="83" t="n">
        <x:f>IF(A1083=0,D1083,MIN(Control!$B$17,D1083+F1083))</x:f>
        <x:v>597.498664998188</x:v>
      </x:c>
      <x:c r="H1083" s="73" t="n">
        <x:f>MOD(INT(G1083)-1,Control!$B$7)+1</x:f>
        <x:v>61</x:v>
      </x:c>
      <x:c r="I1083" s="73" t="n">
        <x:f>MIN(Control!$B$6,MAX(1,INT(MAX(0,G1083)/Control!$B$7)+1))</x:f>
        <x:v>5</x:v>
      </x:c>
      <x:c r="J1083" s="73" t="n">
        <x:f>INDEX(Drivers!$H$8:$H$13,B1083)</x:f>
        <x:v>2</x:v>
      </x:c>
      <x:c r="K1083" s="73" t="n">
        <x:f>IF(J1083=1,INDEX(TrackMap!$I$8:$I$141,H1083),INDEX(TrackMap!$L$8:$L$141,H1083))</x:f>
        <x:v>1534</x:v>
      </x:c>
      <x:c r="L1083" s="73" t="str">
        <x:f>INDEX(TrackMap!$F$8:$F$141,H1083)</x:f>
        <x:v>→</x:v>
      </x:c>
      <x:c r="M1083" s="87" t="n">
        <x:f>MAX(0,G1083/Control!$B$17)</x:f>
        <x:v>0.8917890522361015</x:v>
      </x:c>
      <x:c r="N1083" s="73" t="n">
        <x:f>IF(N1077&gt;0,N1077,IF(G1083&gt;=Control!$B$17,A1083,0))</x:f>
        <x:v>0</x:v>
      </x:c>
      <x:c r="O1083" s="91" t="n">
        <x:f>IF(N1083&gt;0,Control!$B$17+Control!$B$8+1-N1083,G1083)-B1083/100000</x:f>
        <x:v>597.4986449981881</x:v>
      </x:c>
      <x:c r="P1083" s="73" t="n">
        <x:f>COUNTIF($O$1082:$O$1087,"&gt;"&amp;O1083)+1</x:f>
        <x:v>6</x:v>
      </x:c>
      <x:c r="Q1083" s="83" t="n">
        <x:f>MAX($G$1082:$G$1087)-G1083</x:f>
        <x:v>18.72635240343459</x:v>
      </x:c>
      <x:c r="R1083" s="73" t="str">
        <x:f>INDEX(TrackMap!$B$8:$B$141,H1083)</x:f>
        <x:v>中央高速直道</x:v>
      </x:c>
    </x:row>
    <x:row r="1084" ht="20" customHeight="1">
      <x:c r="A1084" s="73" t="n">
        <x:v>179</x:v>
      </x:c>
      <x:c r="B1084" s="73" t="n">
        <x:v>3</x:v>
      </x:c>
      <x:c r="C1084" s="73" t="str">
        <x:f>INDEX(Drivers!$B$8:$B$13,B1084)</x:f>
        <x:v>金翼</x:v>
      </x:c>
      <x:c r="D1084" s="83" t="n">
        <x:f>G1078</x:f>
        <x:v>612.9766966037542</x:v>
      </x:c>
      <x:c r="E1084" s="83" t="str">
        <x:f>IF(A1084=0,"GRID",IF(D1084&gt;=Control!$B$17,"FINISHED",IF(AND(A1084&gt;=INDEX(Drivers!$G$8:$G$13,B1084),A1084&lt;INDEX(Drivers!$G$8:$G$13,B1084)+INDEX(Drivers!$J$8:$J$13,B1084)),"PIT",IF(MOD(A1084+INDEX(Drivers!$F$8:$F$13,B1084),Control!$B$11)&lt;Control!$B$13,"BOOST","RACE"))))</x:f>
        <x:v>RACE</x:v>
      </x:c>
      <x:c r="F1084" s="83" t="n">
        <x:f>IF(OR(E1084="GRID",E1084="FINISHED",E1084="PIT"),0,MAX(Control!$B$15,(INDEX(Drivers!$D$8:$D$13,B1084)+INDEX(Drivers!$E$8:$E$13,B1084)*SIN((A1084+INDEX(Drivers!$F$8:$F$13,B1084)+Control!$B$16)*Control!$B$14))*INDEX(TrackMap!$M$8:$M$141,MOD(INT(D1084)-1,Control!$B$7)+1)*IF(E1084="BOOST",Control!$B$12,1)))</x:f>
        <x:v>3.2483207978683883</x:v>
      </x:c>
      <x:c r="G1084" s="83" t="n">
        <x:f>IF(A1084=0,D1084,MIN(Control!$B$17,D1084+F1084))</x:f>
        <x:v>616.2250174016226</x:v>
      </x:c>
      <x:c r="H1084" s="73" t="n">
        <x:f>MOD(INT(G1084)-1,Control!$B$7)+1</x:f>
        <x:v>80</x:v>
      </x:c>
      <x:c r="I1084" s="73" t="n">
        <x:f>MIN(Control!$B$6,MAX(1,INT(MAX(0,G1084)/Control!$B$7)+1))</x:f>
        <x:v>5</x:v>
      </x:c>
      <x:c r="J1084" s="73" t="n">
        <x:f>INDEX(Drivers!$H$8:$H$13,B1084)</x:f>
        <x:v>1</x:v>
      </x:c>
      <x:c r="K1084" s="73" t="n">
        <x:f>IF(J1084=1,INDEX(TrackMap!$I$8:$I$141,H1084),INDEX(TrackMap!$L$8:$L$141,H1084))</x:f>
        <x:v>849</x:v>
      </x:c>
      <x:c r="L1084" s="73" t="str">
        <x:f>INDEX(TrackMap!$F$8:$F$141,H1084)</x:f>
        <x:v>→</x:v>
      </x:c>
      <x:c r="M1084" s="87" t="n">
        <x:f>MAX(0,G1084/Control!$B$17)</x:f>
        <x:v>0.9197388319427203</x:v>
      </x:c>
      <x:c r="N1084" s="73" t="n">
        <x:f>IF(N1078&gt;0,N1078,IF(G1084&gt;=Control!$B$17,A1084,0))</x:f>
        <x:v>0</x:v>
      </x:c>
      <x:c r="O1084" s="91" t="n">
        <x:f>IF(N1084&gt;0,Control!$B$17+Control!$B$8+1-N1084,G1084)-B1084/100000</x:f>
        <x:v>616.2249874016226</x:v>
      </x:c>
      <x:c r="P1084" s="73" t="n">
        <x:f>COUNTIF($O$1082:$O$1087,"&gt;"&amp;O1084)+1</x:f>
        <x:v>1</x:v>
      </x:c>
      <x:c r="Q1084" s="83" t="n">
        <x:f>MAX($G$1082:$G$1087)-G1084</x:f>
        <x:v>0</x:v>
      </x:c>
      <x:c r="R1084" s="73" t="str">
        <x:f>INDEX(TrackMap!$B$8:$B$141,H1084)</x:f>
        <x:v>东侧发卡弯</x:v>
      </x:c>
    </x:row>
    <x:row r="1085" ht="20" customHeight="1">
      <x:c r="A1085" s="73" t="n">
        <x:v>179</x:v>
      </x:c>
      <x:c r="B1085" s="73" t="n">
        <x:v>4</x:v>
      </x:c>
      <x:c r="C1085" s="73" t="str">
        <x:f>INDEX(Drivers!$B$8:$B$13,B1085)</x:f>
        <x:v>紫影</x:v>
      </x:c>
      <x:c r="D1085" s="83" t="n">
        <x:f>G1079</x:f>
        <x:v>600.1040368956582</x:v>
      </x:c>
      <x:c r="E1085" s="83" t="str">
        <x:f>IF(A1085=0,"GRID",IF(D1085&gt;=Control!$B$17,"FINISHED",IF(AND(A1085&gt;=INDEX(Drivers!$G$8:$G$13,B1085),A1085&lt;INDEX(Drivers!$G$8:$G$13,B1085)+INDEX(Drivers!$J$8:$J$13,B1085)),"PIT",IF(MOD(A1085+INDEX(Drivers!$F$8:$F$13,B1085),Control!$B$11)&lt;Control!$B$13,"BOOST","RACE"))))</x:f>
        <x:v>RACE</x:v>
      </x:c>
      <x:c r="F1085" s="83" t="n">
        <x:f>IF(OR(E1085="GRID",E1085="FINISHED",E1085="PIT"),0,MAX(Control!$B$15,(INDEX(Drivers!$D$8:$D$13,B1085)+INDEX(Drivers!$E$8:$E$13,B1085)*SIN((A1085+INDEX(Drivers!$F$8:$F$13,B1085)+Control!$B$16)*Control!$B$14))*INDEX(TrackMap!$M$8:$M$141,MOD(INT(D1085)-1,Control!$B$7)+1)*IF(E1085="BOOST",Control!$B$12,1)))</x:f>
        <x:v>3.2535412082473654</x:v>
      </x:c>
      <x:c r="G1085" s="83" t="n">
        <x:f>IF(A1085=0,D1085,MIN(Control!$B$17,D1085+F1085))</x:f>
        <x:v>603.3575781039056</x:v>
      </x:c>
      <x:c r="H1085" s="73" t="n">
        <x:f>MOD(INT(G1085)-1,Control!$B$7)+1</x:f>
        <x:v>67</x:v>
      </x:c>
      <x:c r="I1085" s="73" t="n">
        <x:f>MIN(Control!$B$6,MAX(1,INT(MAX(0,G1085)/Control!$B$7)+1))</x:f>
        <x:v>5</x:v>
      </x:c>
      <x:c r="J1085" s="73" t="n">
        <x:f>INDEX(Drivers!$H$8:$H$13,B1085)</x:f>
        <x:v>2</x:v>
      </x:c>
      <x:c r="K1085" s="73" t="n">
        <x:f>IF(J1085=1,INDEX(TrackMap!$I$8:$I$141,H1085),INDEX(TrackMap!$L$8:$L$141,H1085))</x:f>
        <x:v>1540</x:v>
      </x:c>
      <x:c r="L1085" s="73" t="str">
        <x:f>INDEX(TrackMap!$F$8:$F$141,H1085)</x:f>
        <x:v>→</x:v>
      </x:c>
      <x:c r="M1085" s="87" t="n">
        <x:f>MAX(0,G1085/Control!$B$17)</x:f>
        <x:v>0.9005336986625456</x:v>
      </x:c>
      <x:c r="N1085" s="73" t="n">
        <x:f>IF(N1079&gt;0,N1079,IF(G1085&gt;=Control!$B$17,A1085,0))</x:f>
        <x:v>0</x:v>
      </x:c>
      <x:c r="O1085" s="91" t="n">
        <x:f>IF(N1085&gt;0,Control!$B$17+Control!$B$8+1-N1085,G1085)-B1085/100000</x:f>
        <x:v>603.3575381039055</x:v>
      </x:c>
      <x:c r="P1085" s="73" t="n">
        <x:f>COUNTIF($O$1082:$O$1087,"&gt;"&amp;O1085)+1</x:f>
        <x:v>5</x:v>
      </x:c>
      <x:c r="Q1085" s="83" t="n">
        <x:f>MAX($G$1082:$G$1087)-G1085</x:f>
        <x:v>12.867439297717056</x:v>
      </x:c>
      <x:c r="R1085" s="73" t="str">
        <x:f>INDEX(TrackMap!$B$8:$B$141,H1085)</x:f>
        <x:v>中央高速直道</x:v>
      </x:c>
    </x:row>
    <x:row r="1086" ht="20" customHeight="1">
      <x:c r="A1086" s="73" t="n">
        <x:v>179</x:v>
      </x:c>
      <x:c r="B1086" s="73" t="n">
        <x:v>5</x:v>
      </x:c>
      <x:c r="C1086" s="73" t="str">
        <x:f>INDEX(Drivers!$B$8:$B$13,B1086)</x:f>
        <x:v>青锋</x:v>
      </x:c>
      <x:c r="D1086" s="83" t="n">
        <x:f>G1080</x:f>
        <x:v>607.3185480500376</x:v>
      </x:c>
      <x:c r="E1086" s="83" t="str">
        <x:f>IF(A1086=0,"GRID",IF(D1086&gt;=Control!$B$17,"FINISHED",IF(AND(A1086&gt;=INDEX(Drivers!$G$8:$G$13,B1086),A1086&lt;INDEX(Drivers!$G$8:$G$13,B1086)+INDEX(Drivers!$J$8:$J$13,B1086)),"PIT",IF(MOD(A1086+INDEX(Drivers!$F$8:$F$13,B1086),Control!$B$11)&lt;Control!$B$13,"BOOST","RACE"))))</x:f>
        <x:v>BOOST</x:v>
      </x:c>
      <x:c r="F1086" s="83" t="n">
        <x:f>IF(OR(E1086="GRID",E1086="FINISHED",E1086="PIT"),0,MAX(Control!$B$15,(INDEX(Drivers!$D$8:$D$13,B1086)+INDEX(Drivers!$E$8:$E$13,B1086)*SIN((A1086+INDEX(Drivers!$F$8:$F$13,B1086)+Control!$B$16)*Control!$B$14))*INDEX(TrackMap!$M$8:$M$141,MOD(INT(D1086)-1,Control!$B$7)+1)*IF(E1086="BOOST",Control!$B$12,1)))</x:f>
        <x:v>3.498309151973588</x:v>
      </x:c>
      <x:c r="G1086" s="83" t="n">
        <x:f>IF(A1086=0,D1086,MIN(Control!$B$17,D1086+F1086))</x:f>
        <x:v>610.8168572020112</x:v>
      </x:c>
      <x:c r="H1086" s="73" t="n">
        <x:f>MOD(INT(G1086)-1,Control!$B$7)+1</x:f>
        <x:v>74</x:v>
      </x:c>
      <x:c r="I1086" s="73" t="n">
        <x:f>MIN(Control!$B$6,MAX(1,INT(MAX(0,G1086)/Control!$B$7)+1))</x:f>
        <x:v>5</x:v>
      </x:c>
      <x:c r="J1086" s="73" t="n">
        <x:f>INDEX(Drivers!$H$8:$H$13,B1086)</x:f>
        <x:v>1</x:v>
      </x:c>
      <x:c r="K1086" s="73" t="n">
        <x:f>IF(J1086=1,INDEX(TrackMap!$I$8:$I$141,H1086),INDEX(TrackMap!$L$8:$L$141,H1086))</x:f>
        <x:v>1246</x:v>
      </x:c>
      <x:c r="L1086" s="73" t="str">
        <x:f>INDEX(TrackMap!$F$8:$F$141,H1086)</x:f>
        <x:v>↑</x:v>
      </x:c>
      <x:c r="M1086" s="87" t="n">
        <x:f>MAX(0,G1086/Control!$B$17)</x:f>
        <x:v>0.911666951047778</x:v>
      </x:c>
      <x:c r="N1086" s="73" t="n">
        <x:f>IF(N1080&gt;0,N1080,IF(G1086&gt;=Control!$B$17,A1086,0))</x:f>
        <x:v>0</x:v>
      </x:c>
      <x:c r="O1086" s="91" t="n">
        <x:f>IF(N1086&gt;0,Control!$B$17+Control!$B$8+1-N1086,G1086)-B1086/100000</x:f>
        <x:v>610.8168072020112</x:v>
      </x:c>
      <x:c r="P1086" s="73" t="n">
        <x:f>COUNTIF($O$1082:$O$1087,"&gt;"&amp;O1086)+1</x:f>
        <x:v>4</x:v>
      </x:c>
      <x:c r="Q1086" s="83" t="n">
        <x:f>MAX($G$1082:$G$1087)-G1086</x:f>
        <x:v>5.408160199611416</x:v>
      </x:c>
      <x:c r="R1086" s="73" t="str">
        <x:f>INDEX(TrackMap!$B$8:$B$141,H1086)</x:f>
        <x:v>东侧上行弯</x:v>
      </x:c>
    </x:row>
    <x:row r="1087" ht="20" customHeight="1">
      <x:c r="A1087" s="73" t="n">
        <x:v>179</x:v>
      </x:c>
      <x:c r="B1087" s="73" t="n">
        <x:v>6</x:v>
      </x:c>
      <x:c r="C1087" s="73" t="str">
        <x:f>INDEX(Drivers!$B$8:$B$13,B1087)</x:f>
        <x:v>玫速</x:v>
      </x:c>
      <x:c r="D1087" s="83" t="n">
        <x:f>G1081</x:f>
        <x:v>608.5383918403433</x:v>
      </x:c>
      <x:c r="E1087" s="83" t="str">
        <x:f>IF(A1087=0,"GRID",IF(D1087&gt;=Control!$B$17,"FINISHED",IF(AND(A1087&gt;=INDEX(Drivers!$G$8:$G$13,B1087),A1087&lt;INDEX(Drivers!$G$8:$G$13,B1087)+INDEX(Drivers!$J$8:$J$13,B1087)),"PIT",IF(MOD(A1087+INDEX(Drivers!$F$8:$F$13,B1087),Control!$B$11)&lt;Control!$B$13,"BOOST","RACE"))))</x:f>
        <x:v>RACE</x:v>
      </x:c>
      <x:c r="F1087" s="83" t="n">
        <x:f>IF(OR(E1087="GRID",E1087="FINISHED",E1087="PIT"),0,MAX(Control!$B$15,(INDEX(Drivers!$D$8:$D$13,B1087)+INDEX(Drivers!$E$8:$E$13,B1087)*SIN((A1087+INDEX(Drivers!$F$8:$F$13,B1087)+Control!$B$16)*Control!$B$14))*INDEX(TrackMap!$M$8:$M$141,MOD(INT(D1087)-1,Control!$B$7)+1)*IF(E1087="BOOST",Control!$B$12,1)))</x:f>
        <x:v>2.908628673428058</x:v>
      </x:c>
      <x:c r="G1087" s="83" t="n">
        <x:f>IF(A1087=0,D1087,MIN(Control!$B$17,D1087+F1087))</x:f>
        <x:v>611.4470205137713</x:v>
      </x:c>
      <x:c r="H1087" s="73" t="n">
        <x:f>MOD(INT(G1087)-1,Control!$B$7)+1</x:f>
        <x:v>75</x:v>
      </x:c>
      <x:c r="I1087" s="73" t="n">
        <x:f>MIN(Control!$B$6,MAX(1,INT(MAX(0,G1087)/Control!$B$7)+1))</x:f>
        <x:v>5</x:v>
      </x:c>
      <x:c r="J1087" s="73" t="n">
        <x:f>INDEX(Drivers!$H$8:$H$13,B1087)</x:f>
        <x:v>2</x:v>
      </x:c>
      <x:c r="K1087" s="73" t="n">
        <x:f>IF(J1087=1,INDEX(TrackMap!$I$8:$I$141,H1087),INDEX(TrackMap!$L$8:$L$141,H1087))</x:f>
        <x:v>1145</x:v>
      </x:c>
      <x:c r="L1087" s="73" t="str">
        <x:f>INDEX(TrackMap!$F$8:$F$141,H1087)</x:f>
        <x:v>↑</x:v>
      </x:c>
      <x:c r="M1087" s="87" t="n">
        <x:f>MAX(0,G1087/Control!$B$17)</x:f>
        <x:v>0.9126074933041364</x:v>
      </x:c>
      <x:c r="N1087" s="73" t="n">
        <x:f>IF(N1081&gt;0,N1081,IF(G1087&gt;=Control!$B$17,A1087,0))</x:f>
        <x:v>0</x:v>
      </x:c>
      <x:c r="O1087" s="91" t="n">
        <x:f>IF(N1087&gt;0,Control!$B$17+Control!$B$8+1-N1087,G1087)-B1087/100000</x:f>
        <x:v>611.4469605137714</x:v>
      </x:c>
      <x:c r="P1087" s="73" t="n">
        <x:f>COUNTIF($O$1082:$O$1087,"&gt;"&amp;O1087)+1</x:f>
        <x:v>3</x:v>
      </x:c>
      <x:c r="Q1087" s="83" t="n">
        <x:f>MAX($G$1082:$G$1087)-G1087</x:f>
        <x:v>4.777996887851259</x:v>
      </x:c>
      <x:c r="R1087" s="73" t="str">
        <x:f>INDEX(TrackMap!$B$8:$B$141,H1087)</x:f>
        <x:v>东侧上行弯</x:v>
      </x:c>
    </x:row>
    <x:row r="1088" ht="20" customHeight="1">
      <x:c r="A1088" s="73" t="n">
        <x:v>180</x:v>
      </x:c>
      <x:c r="B1088" s="73" t="n">
        <x:v>1</x:v>
      </x:c>
      <x:c r="C1088" s="73" t="str">
        <x:f>INDEX(Drivers!$B$8:$B$13,B1088)</x:f>
        <x:v>赤焰</x:v>
      </x:c>
      <x:c r="D1088" s="83" t="n">
        <x:f>G1082</x:f>
        <x:v>615.9512220330058</x:v>
      </x:c>
      <x:c r="E1088" s="83" t="str">
        <x:f>IF(A1088=0,"GRID",IF(D1088&gt;=Control!$B$17,"FINISHED",IF(AND(A1088&gt;=INDEX(Drivers!$G$8:$G$13,B1088),A1088&lt;INDEX(Drivers!$G$8:$G$13,B1088)+INDEX(Drivers!$J$8:$J$13,B1088)),"PIT",IF(MOD(A1088+INDEX(Drivers!$F$8:$F$13,B1088),Control!$B$11)&lt;Control!$B$13,"BOOST","RACE"))))</x:f>
        <x:v>RACE</x:v>
      </x:c>
      <x:c r="F1088" s="83" t="n">
        <x:f>IF(OR(E1088="GRID",E1088="FINISHED",E1088="PIT"),0,MAX(Control!$B$15,(INDEX(Drivers!$D$8:$D$13,B1088)+INDEX(Drivers!$E$8:$E$13,B1088)*SIN((A1088+INDEX(Drivers!$F$8:$F$13,B1088)+Control!$B$16)*Control!$B$14))*INDEX(TrackMap!$M$8:$M$141,MOD(INT(D1088)-1,Control!$B$7)+1)*IF(E1088="BOOST",Control!$B$12,1)))</x:f>
        <x:v>3.043820182246007</x:v>
      </x:c>
      <x:c r="G1088" s="83" t="n">
        <x:f>IF(A1088=0,D1088,MIN(Control!$B$17,D1088+F1088))</x:f>
        <x:v>618.9950422152518</x:v>
      </x:c>
      <x:c r="H1088" s="73" t="n">
        <x:f>MOD(INT(G1088)-1,Control!$B$7)+1</x:f>
        <x:v>82</x:v>
      </x:c>
      <x:c r="I1088" s="73" t="n">
        <x:f>MIN(Control!$B$6,MAX(1,INT(MAX(0,G1088)/Control!$B$7)+1))</x:f>
        <x:v>5</x:v>
      </x:c>
      <x:c r="J1088" s="73" t="n">
        <x:f>INDEX(Drivers!$H$8:$H$13,B1088)</x:f>
        <x:v>1</x:v>
      </x:c>
      <x:c r="K1088" s="73" t="n">
        <x:f>IF(J1088=1,INDEX(TrackMap!$I$8:$I$141,H1088),INDEX(TrackMap!$L$8:$L$141,H1088))</x:f>
        <x:v>1152</x:v>
      </x:c>
      <x:c r="L1088" s="73" t="str">
        <x:f>INDEX(TrackMap!$F$8:$F$141,H1088)</x:f>
        <x:v>↓</x:v>
      </x:c>
      <x:c r="M1088" s="87" t="n">
        <x:f>MAX(0,G1088/Control!$B$17)</x:f>
        <x:v>0.9238731973361968</x:v>
      </x:c>
      <x:c r="N1088" s="73" t="n">
        <x:f>IF(N1082&gt;0,N1082,IF(G1088&gt;=Control!$B$17,A1088,0))</x:f>
        <x:v>0</x:v>
      </x:c>
      <x:c r="O1088" s="91" t="n">
        <x:f>IF(N1088&gt;0,Control!$B$17+Control!$B$8+1-N1088,G1088)-B1088/100000</x:f>
        <x:v>618.9950322152519</x:v>
      </x:c>
      <x:c r="P1088" s="73" t="n">
        <x:f>COUNTIF($O$1088:$O$1093,"&gt;"&amp;O1088)+1</x:f>
        <x:v>2</x:v>
      </x:c>
      <x:c r="Q1088" s="83" t="n">
        <x:f>MAX($G$1088:$G$1093)-G1088</x:f>
        <x:v>0.505959321154819</x:v>
      </x:c>
      <x:c r="R1088" s="73" t="str">
        <x:f>INDEX(TrackMap!$B$8:$B$141,H1088)</x:f>
        <x:v>东侧长直道</x:v>
      </x:c>
    </x:row>
    <x:row r="1089" ht="20" customHeight="1">
      <x:c r="A1089" s="73" t="n">
        <x:v>180</x:v>
      </x:c>
      <x:c r="B1089" s="73" t="n">
        <x:v>2</x:v>
      </x:c>
      <x:c r="C1089" s="73" t="str">
        <x:f>INDEX(Drivers!$B$8:$B$13,B1089)</x:f>
        <x:v>蓝电</x:v>
      </x:c>
      <x:c r="D1089" s="83" t="n">
        <x:f>G1083</x:f>
        <x:v>597.498664998188</x:v>
      </x:c>
      <x:c r="E1089" s="83" t="str">
        <x:f>IF(A1089=0,"GRID",IF(D1089&gt;=Control!$B$17,"FINISHED",IF(AND(A1089&gt;=INDEX(Drivers!$G$8:$G$13,B1089),A1089&lt;INDEX(Drivers!$G$8:$G$13,B1089)+INDEX(Drivers!$J$8:$J$13,B1089)),"PIT",IF(MOD(A1089+INDEX(Drivers!$F$8:$F$13,B1089),Control!$B$11)&lt;Control!$B$13,"BOOST","RACE"))))</x:f>
        <x:v>BOOST</x:v>
      </x:c>
      <x:c r="F1089" s="83" t="n">
        <x:f>IF(OR(E1089="GRID",E1089="FINISHED",E1089="PIT"),0,MAX(Control!$B$15,(INDEX(Drivers!$D$8:$D$13,B1089)+INDEX(Drivers!$E$8:$E$13,B1089)*SIN((A1089+INDEX(Drivers!$F$8:$F$13,B1089)+Control!$B$16)*Control!$B$14))*INDEX(TrackMap!$M$8:$M$141,MOD(INT(D1089)-1,Control!$B$7)+1)*IF(E1089="BOOST",Control!$B$12,1)))</x:f>
        <x:v>4.139329642575613</x:v>
      </x:c>
      <x:c r="G1089" s="83" t="n">
        <x:f>IF(A1089=0,D1089,MIN(Control!$B$17,D1089+F1089))</x:f>
        <x:v>601.6379946407636</x:v>
      </x:c>
      <x:c r="H1089" s="73" t="n">
        <x:f>MOD(INT(G1089)-1,Control!$B$7)+1</x:f>
        <x:v>65</x:v>
      </x:c>
      <x:c r="I1089" s="73" t="n">
        <x:f>MIN(Control!$B$6,MAX(1,INT(MAX(0,G1089)/Control!$B$7)+1))</x:f>
        <x:v>5</x:v>
      </x:c>
      <x:c r="J1089" s="73" t="n">
        <x:f>INDEX(Drivers!$H$8:$H$13,B1089)</x:f>
        <x:v>2</x:v>
      </x:c>
      <x:c r="K1089" s="73" t="n">
        <x:f>IF(J1089=1,INDEX(TrackMap!$I$8:$I$141,H1089),INDEX(TrackMap!$L$8:$L$141,H1089))</x:f>
        <x:v>1538</x:v>
      </x:c>
      <x:c r="L1089" s="73" t="str">
        <x:f>INDEX(TrackMap!$F$8:$F$141,H1089)</x:f>
        <x:v>→</x:v>
      </x:c>
      <x:c r="M1089" s="87" t="n">
        <x:f>MAX(0,G1089/Control!$B$17)</x:f>
        <x:v>0.8979671561802443</x:v>
      </x:c>
      <x:c r="N1089" s="73" t="n">
        <x:f>IF(N1083&gt;0,N1083,IF(G1089&gt;=Control!$B$17,A1089,0))</x:f>
        <x:v>0</x:v>
      </x:c>
      <x:c r="O1089" s="91" t="n">
        <x:f>IF(N1089&gt;0,Control!$B$17+Control!$B$8+1-N1089,G1089)-B1089/100000</x:f>
        <x:v>601.6379746407637</x:v>
      </x:c>
      <x:c r="P1089" s="73" t="n">
        <x:f>COUNTIF($O$1088:$O$1093,"&gt;"&amp;O1089)+1</x:f>
        <x:v>6</x:v>
      </x:c>
      <x:c r="Q1089" s="83" t="n">
        <x:f>MAX($G$1088:$G$1093)-G1089</x:f>
        <x:v>17.863006895643025</x:v>
      </x:c>
      <x:c r="R1089" s="73" t="str">
        <x:f>INDEX(TrackMap!$B$8:$B$141,H1089)</x:f>
        <x:v>中央高速直道</x:v>
      </x:c>
    </x:row>
    <x:row r="1090" ht="20" customHeight="1">
      <x:c r="A1090" s="73" t="n">
        <x:v>180</x:v>
      </x:c>
      <x:c r="B1090" s="73" t="n">
        <x:v>3</x:v>
      </x:c>
      <x:c r="C1090" s="73" t="str">
        <x:f>INDEX(Drivers!$B$8:$B$13,B1090)</x:f>
        <x:v>金翼</x:v>
      </x:c>
      <x:c r="D1090" s="83" t="n">
        <x:f>G1084</x:f>
        <x:v>616.2250174016226</x:v>
      </x:c>
      <x:c r="E1090" s="83" t="str">
        <x:f>IF(A1090=0,"GRID",IF(D1090&gt;=Control!$B$17,"FINISHED",IF(AND(A1090&gt;=INDEX(Drivers!$G$8:$G$13,B1090),A1090&lt;INDEX(Drivers!$G$8:$G$13,B1090)+INDEX(Drivers!$J$8:$J$13,B1090)),"PIT",IF(MOD(A1090+INDEX(Drivers!$F$8:$F$13,B1090),Control!$B$11)&lt;Control!$B$13,"BOOST","RACE"))))</x:f>
        <x:v>RACE</x:v>
      </x:c>
      <x:c r="F1090" s="83" t="n">
        <x:f>IF(OR(E1090="GRID",E1090="FINISHED",E1090="PIT"),0,MAX(Control!$B$15,(INDEX(Drivers!$D$8:$D$13,B1090)+INDEX(Drivers!$E$8:$E$13,B1090)*SIN((A1090+INDEX(Drivers!$F$8:$F$13,B1090)+Control!$B$16)*Control!$B$14))*INDEX(TrackMap!$M$8:$M$141,MOD(INT(D1090)-1,Control!$B$7)+1)*IF(E1090="BOOST",Control!$B$12,1)))</x:f>
        <x:v>3.2759841347840126</x:v>
      </x:c>
      <x:c r="G1090" s="83" t="n">
        <x:f>IF(A1090=0,D1090,MIN(Control!$B$17,D1090+F1090))</x:f>
        <x:v>619.5010015364066</x:v>
      </x:c>
      <x:c r="H1090" s="73" t="n">
        <x:f>MOD(INT(G1090)-1,Control!$B$7)+1</x:f>
        <x:v>83</x:v>
      </x:c>
      <x:c r="I1090" s="73" t="n">
        <x:f>MIN(Control!$B$6,MAX(1,INT(MAX(0,G1090)/Control!$B$7)+1))</x:f>
        <x:v>5</x:v>
      </x:c>
      <x:c r="J1090" s="73" t="n">
        <x:f>INDEX(Drivers!$H$8:$H$13,B1090)</x:f>
        <x:v>1</x:v>
      </x:c>
      <x:c r="K1090" s="73" t="n">
        <x:f>IF(J1090=1,INDEX(TrackMap!$I$8:$I$141,H1090),INDEX(TrackMap!$L$8:$L$141,H1090))</x:f>
        <x:v>1252</x:v>
      </x:c>
      <x:c r="L1090" s="73" t="str">
        <x:f>INDEX(TrackMap!$F$8:$F$141,H1090)</x:f>
        <x:v>↓</x:v>
      </x:c>
      <x:c r="M1090" s="87" t="n">
        <x:f>MAX(0,G1090/Control!$B$17)</x:f>
        <x:v>0.9246283605020995</x:v>
      </x:c>
      <x:c r="N1090" s="73" t="n">
        <x:f>IF(N1084&gt;0,N1084,IF(G1090&gt;=Control!$B$17,A1090,0))</x:f>
        <x:v>0</x:v>
      </x:c>
      <x:c r="O1090" s="91" t="n">
        <x:f>IF(N1090&gt;0,Control!$B$17+Control!$B$8+1-N1090,G1090)-B1090/100000</x:f>
        <x:v>619.5009715364066</x:v>
      </x:c>
      <x:c r="P1090" s="73" t="n">
        <x:f>COUNTIF($O$1088:$O$1093,"&gt;"&amp;O1090)+1</x:f>
        <x:v>1</x:v>
      </x:c>
      <x:c r="Q1090" s="83" t="n">
        <x:f>MAX($G$1088:$G$1093)-G1090</x:f>
        <x:v>0</x:v>
      </x:c>
      <x:c r="R1090" s="73" t="str">
        <x:f>INDEX(TrackMap!$B$8:$B$141,H1090)</x:f>
        <x:v>东侧长直道</x:v>
      </x:c>
    </x:row>
    <x:row r="1091" ht="20" customHeight="1">
      <x:c r="A1091" s="73" t="n">
        <x:v>180</x:v>
      </x:c>
      <x:c r="B1091" s="73" t="n">
        <x:v>4</x:v>
      </x:c>
      <x:c r="C1091" s="73" t="str">
        <x:f>INDEX(Drivers!$B$8:$B$13,B1091)</x:f>
        <x:v>紫影</x:v>
      </x:c>
      <x:c r="D1091" s="83" t="n">
        <x:f>G1085</x:f>
        <x:v>603.3575781039056</x:v>
      </x:c>
      <x:c r="E1091" s="83" t="str">
        <x:f>IF(A1091=0,"GRID",IF(D1091&gt;=Control!$B$17,"FINISHED",IF(AND(A1091&gt;=INDEX(Drivers!$G$8:$G$13,B1091),A1091&lt;INDEX(Drivers!$G$8:$G$13,B1091)+INDEX(Drivers!$J$8:$J$13,B1091)),"PIT",IF(MOD(A1091+INDEX(Drivers!$F$8:$F$13,B1091),Control!$B$11)&lt;Control!$B$13,"BOOST","RACE"))))</x:f>
        <x:v>RACE</x:v>
      </x:c>
      <x:c r="F1091" s="83" t="n">
        <x:f>IF(OR(E1091="GRID",E1091="FINISHED",E1091="PIT"),0,MAX(Control!$B$15,(INDEX(Drivers!$D$8:$D$13,B1091)+INDEX(Drivers!$E$8:$E$13,B1091)*SIN((A1091+INDEX(Drivers!$F$8:$F$13,B1091)+Control!$B$16)*Control!$B$14))*INDEX(TrackMap!$M$8:$M$141,MOD(INT(D1091)-1,Control!$B$7)+1)*IF(E1091="BOOST",Control!$B$12,1)))</x:f>
        <x:v>3.108780883033628</x:v>
      </x:c>
      <x:c r="G1091" s="83" t="n">
        <x:f>IF(A1091=0,D1091,MIN(Control!$B$17,D1091+F1091))</x:f>
        <x:v>606.4663589869392</x:v>
      </x:c>
      <x:c r="H1091" s="73" t="n">
        <x:f>MOD(INT(G1091)-1,Control!$B$7)+1</x:f>
        <x:v>70</x:v>
      </x:c>
      <x:c r="I1091" s="73" t="n">
        <x:f>MIN(Control!$B$6,MAX(1,INT(MAX(0,G1091)/Control!$B$7)+1))</x:f>
        <x:v>5</x:v>
      </x:c>
      <x:c r="J1091" s="73" t="n">
        <x:f>INDEX(Drivers!$H$8:$H$13,B1091)</x:f>
        <x:v>2</x:v>
      </x:c>
      <x:c r="K1091" s="73" t="n">
        <x:f>IF(J1091=1,INDEX(TrackMap!$I$8:$I$141,H1091),INDEX(TrackMap!$L$8:$L$141,H1091))</x:f>
        <x:v>1543</x:v>
      </x:c>
      <x:c r="L1091" s="73" t="str">
        <x:f>INDEX(TrackMap!$F$8:$F$141,H1091)</x:f>
        <x:v>→</x:v>
      </x:c>
      <x:c r="M1091" s="87" t="n">
        <x:f>MAX(0,G1091/Control!$B$17)</x:f>
        <x:v>0.90517367012976</x:v>
      </x:c>
      <x:c r="N1091" s="73" t="n">
        <x:f>IF(N1085&gt;0,N1085,IF(G1091&gt;=Control!$B$17,A1091,0))</x:f>
        <x:v>0</x:v>
      </x:c>
      <x:c r="O1091" s="91" t="n">
        <x:f>IF(N1091&gt;0,Control!$B$17+Control!$B$8+1-N1091,G1091)-B1091/100000</x:f>
        <x:v>606.4663189869392</x:v>
      </x:c>
      <x:c r="P1091" s="73" t="n">
        <x:f>COUNTIF($O$1088:$O$1093,"&gt;"&amp;O1091)+1</x:f>
        <x:v>5</x:v>
      </x:c>
      <x:c r="Q1091" s="83" t="n">
        <x:f>MAX($G$1088:$G$1093)-G1091</x:f>
        <x:v>13.034642549467435</x:v>
      </x:c>
      <x:c r="R1091" s="73" t="str">
        <x:f>INDEX(TrackMap!$B$8:$B$141,H1091)</x:f>
        <x:v>中央高速直道</x:v>
      </x:c>
    </x:row>
    <x:row r="1092" ht="20" customHeight="1">
      <x:c r="A1092" s="73" t="n">
        <x:v>180</x:v>
      </x:c>
      <x:c r="B1092" s="73" t="n">
        <x:v>5</x:v>
      </x:c>
      <x:c r="C1092" s="73" t="str">
        <x:f>INDEX(Drivers!$B$8:$B$13,B1092)</x:f>
        <x:v>青锋</x:v>
      </x:c>
      <x:c r="D1092" s="83" t="n">
        <x:f>G1086</x:f>
        <x:v>610.8168572020112</x:v>
      </x:c>
      <x:c r="E1092" s="83" t="str">
        <x:f>IF(A1092=0,"GRID",IF(D1092&gt;=Control!$B$17,"FINISHED",IF(AND(A1092&gt;=INDEX(Drivers!$G$8:$G$13,B1092),A1092&lt;INDEX(Drivers!$G$8:$G$13,B1092)+INDEX(Drivers!$J$8:$J$13,B1092)),"PIT",IF(MOD(A1092+INDEX(Drivers!$F$8:$F$13,B1092),Control!$B$11)&lt;Control!$B$13,"BOOST","RACE"))))</x:f>
        <x:v>BOOST</x:v>
      </x:c>
      <x:c r="F1092" s="83" t="n">
        <x:f>IF(OR(E1092="GRID",E1092="FINISHED",E1092="PIT"),0,MAX(Control!$B$15,(INDEX(Drivers!$D$8:$D$13,B1092)+INDEX(Drivers!$E$8:$E$13,B1092)*SIN((A1092+INDEX(Drivers!$F$8:$F$13,B1092)+Control!$B$16)*Control!$B$14))*INDEX(TrackMap!$M$8:$M$141,MOD(INT(D1092)-1,Control!$B$7)+1)*IF(E1092="BOOST",Control!$B$12,1)))</x:f>
        <x:v>3.360640062173699</x:v>
      </x:c>
      <x:c r="G1092" s="83" t="n">
        <x:f>IF(A1092=0,D1092,MIN(Control!$B$17,D1092+F1092))</x:f>
        <x:v>614.1774972641849</x:v>
      </x:c>
      <x:c r="H1092" s="73" t="n">
        <x:f>MOD(INT(G1092)-1,Control!$B$7)+1</x:f>
        <x:v>78</x:v>
      </x:c>
      <x:c r="I1092" s="73" t="n">
        <x:f>MIN(Control!$B$6,MAX(1,INT(MAX(0,G1092)/Control!$B$7)+1))</x:f>
        <x:v>5</x:v>
      </x:c>
      <x:c r="J1092" s="73" t="n">
        <x:f>INDEX(Drivers!$H$8:$H$13,B1092)</x:f>
        <x:v>1</x:v>
      </x:c>
      <x:c r="K1092" s="73" t="n">
        <x:f>IF(J1092=1,INDEX(TrackMap!$I$8:$I$141,H1092),INDEX(TrackMap!$L$8:$L$141,H1092))</x:f>
        <x:v>847</x:v>
      </x:c>
      <x:c r="L1092" s="73" t="str">
        <x:f>INDEX(TrackMap!$F$8:$F$141,H1092)</x:f>
        <x:v>→</x:v>
      </x:c>
      <x:c r="M1092" s="87" t="n">
        <x:f>MAX(0,G1092/Control!$B$17)</x:f>
        <x:v>0.9166828317375895</x:v>
      </x:c>
      <x:c r="N1092" s="73" t="n">
        <x:f>IF(N1086&gt;0,N1086,IF(G1092&gt;=Control!$B$17,A1092,0))</x:f>
        <x:v>0</x:v>
      </x:c>
      <x:c r="O1092" s="91" t="n">
        <x:f>IF(N1092&gt;0,Control!$B$17+Control!$B$8+1-N1092,G1092)-B1092/100000</x:f>
        <x:v>614.1774472641849</x:v>
      </x:c>
      <x:c r="P1092" s="73" t="n">
        <x:f>COUNTIF($O$1088:$O$1093,"&gt;"&amp;O1092)+1</x:f>
        <x:v>4</x:v>
      </x:c>
      <x:c r="Q1092" s="83" t="n">
        <x:f>MAX($G$1088:$G$1093)-G1092</x:f>
        <x:v>5.323504272221726</x:v>
      </x:c>
      <x:c r="R1092" s="73" t="str">
        <x:f>INDEX(TrackMap!$B$8:$B$141,H1092)</x:f>
        <x:v>东侧发卡弯</x:v>
      </x:c>
    </x:row>
    <x:row r="1093" ht="20" customHeight="1">
      <x:c r="A1093" s="73" t="n">
        <x:v>180</x:v>
      </x:c>
      <x:c r="B1093" s="73" t="n">
        <x:v>6</x:v>
      </x:c>
      <x:c r="C1093" s="73" t="str">
        <x:f>INDEX(Drivers!$B$8:$B$13,B1093)</x:f>
        <x:v>玫速</x:v>
      </x:c>
      <x:c r="D1093" s="83" t="n">
        <x:f>G1087</x:f>
        <x:v>611.4470205137713</x:v>
      </x:c>
      <x:c r="E1093" s="83" t="str">
        <x:f>IF(A1093=0,"GRID",IF(D1093&gt;=Control!$B$17,"FINISHED",IF(AND(A1093&gt;=INDEX(Drivers!$G$8:$G$13,B1093),A1093&lt;INDEX(Drivers!$G$8:$G$13,B1093)+INDEX(Drivers!$J$8:$J$13,B1093)),"PIT",IF(MOD(A1093+INDEX(Drivers!$F$8:$F$13,B1093),Control!$B$11)&lt;Control!$B$13,"BOOST","RACE"))))</x:f>
        <x:v>RACE</x:v>
      </x:c>
      <x:c r="F1093" s="83" t="n">
        <x:f>IF(OR(E1093="GRID",E1093="FINISHED",E1093="PIT"),0,MAX(Control!$B$15,(INDEX(Drivers!$D$8:$D$13,B1093)+INDEX(Drivers!$E$8:$E$13,B1093)*SIN((A1093+INDEX(Drivers!$F$8:$F$13,B1093)+Control!$B$16)*Control!$B$14))*INDEX(TrackMap!$M$8:$M$141,MOD(INT(D1093)-1,Control!$B$7)+1)*IF(E1093="BOOST",Control!$B$12,1)))</x:f>
        <x:v>3.0747121034932126</x:v>
      </x:c>
      <x:c r="G1093" s="83" t="n">
        <x:f>IF(A1093=0,D1093,MIN(Control!$B$17,D1093+F1093))</x:f>
        <x:v>614.5217326172645</x:v>
      </x:c>
      <x:c r="H1093" s="73" t="n">
        <x:f>MOD(INT(G1093)-1,Control!$B$7)+1</x:f>
        <x:v>78</x:v>
      </x:c>
      <x:c r="I1093" s="73" t="n">
        <x:f>MIN(Control!$B$6,MAX(1,INT(MAX(0,G1093)/Control!$B$7)+1))</x:f>
        <x:v>5</x:v>
      </x:c>
      <x:c r="J1093" s="73" t="n">
        <x:f>INDEX(Drivers!$H$8:$H$13,B1093)</x:f>
        <x:v>2</x:v>
      </x:c>
      <x:c r="K1093" s="73" t="n">
        <x:f>IF(J1093=1,INDEX(TrackMap!$I$8:$I$141,H1093),INDEX(TrackMap!$L$8:$L$141,H1093))</x:f>
        <x:v>947</x:v>
      </x:c>
      <x:c r="L1093" s="73" t="str">
        <x:f>INDEX(TrackMap!$F$8:$F$141,H1093)</x:f>
        <x:v>→</x:v>
      </x:c>
      <x:c r="M1093" s="87" t="n">
        <x:f>MAX(0,G1093/Control!$B$17)</x:f>
        <x:v>0.9171966158466635</x:v>
      </x:c>
      <x:c r="N1093" s="73" t="n">
        <x:f>IF(N1087&gt;0,N1087,IF(G1093&gt;=Control!$B$17,A1093,0))</x:f>
        <x:v>0</x:v>
      </x:c>
      <x:c r="O1093" s="91" t="n">
        <x:f>IF(N1093&gt;0,Control!$B$17+Control!$B$8+1-N1093,G1093)-B1093/100000</x:f>
        <x:v>614.5216726172646</x:v>
      </x:c>
      <x:c r="P1093" s="73" t="n">
        <x:f>COUNTIF($O$1088:$O$1093,"&gt;"&amp;O1093)+1</x:f>
        <x:v>3</x:v>
      </x:c>
      <x:c r="Q1093" s="83" t="n">
        <x:f>MAX($G$1088:$G$1093)-G1093</x:f>
        <x:v>4.9792689191421005</x:v>
      </x:c>
      <x:c r="R1093" s="73" t="str">
        <x:f>INDEX(TrackMap!$B$8:$B$141,H1093)</x:f>
        <x:v>东侧发卡弯</x:v>
      </x:c>
    </x:row>
    <x:row r="1094" ht="20" customHeight="1">
      <x:c r="A1094" s="73" t="n">
        <x:v>181</x:v>
      </x:c>
      <x:c r="B1094" s="73" t="n">
        <x:v>1</x:v>
      </x:c>
      <x:c r="C1094" s="73" t="str">
        <x:f>INDEX(Drivers!$B$8:$B$13,B1094)</x:f>
        <x:v>赤焰</x:v>
      </x:c>
      <x:c r="D1094" s="83" t="n">
        <x:f>G1088</x:f>
        <x:v>618.9950422152518</x:v>
      </x:c>
      <x:c r="E1094" s="83" t="str">
        <x:f>IF(A1094=0,"GRID",IF(D1094&gt;=Control!$B$17,"FINISHED",IF(AND(A1094&gt;=INDEX(Drivers!$G$8:$G$13,B1094),A1094&lt;INDEX(Drivers!$G$8:$G$13,B1094)+INDEX(Drivers!$J$8:$J$13,B1094)),"PIT",IF(MOD(A1094+INDEX(Drivers!$F$8:$F$13,B1094),Control!$B$11)&lt;Control!$B$13,"BOOST","RACE"))))</x:f>
        <x:v>RACE</x:v>
      </x:c>
      <x:c r="F1094" s="83" t="n">
        <x:f>IF(OR(E1094="GRID",E1094="FINISHED",E1094="PIT"),0,MAX(Control!$B$15,(INDEX(Drivers!$D$8:$D$13,B1094)+INDEX(Drivers!$E$8:$E$13,B1094)*SIN((A1094+INDEX(Drivers!$F$8:$F$13,B1094)+Control!$B$16)*Control!$B$14))*INDEX(TrackMap!$M$8:$M$141,MOD(INT(D1094)-1,Control!$B$7)+1)*IF(E1094="BOOST",Control!$B$12,1)))</x:f>
        <x:v>2.8926580746584496</x:v>
      </x:c>
      <x:c r="G1094" s="83" t="n">
        <x:f>IF(A1094=0,D1094,MIN(Control!$B$17,D1094+F1094))</x:f>
        <x:v>621.8877002899103</x:v>
      </x:c>
      <x:c r="H1094" s="73" t="n">
        <x:f>MOD(INT(G1094)-1,Control!$B$7)+1</x:f>
        <x:v>85</x:v>
      </x:c>
      <x:c r="I1094" s="73" t="n">
        <x:f>MIN(Control!$B$6,MAX(1,INT(MAX(0,G1094)/Control!$B$7)+1))</x:f>
        <x:v>5</x:v>
      </x:c>
      <x:c r="J1094" s="73" t="n">
        <x:f>INDEX(Drivers!$H$8:$H$13,B1094)</x:f>
        <x:v>1</x:v>
      </x:c>
      <x:c r="K1094" s="73" t="n">
        <x:f>IF(J1094=1,INDEX(TrackMap!$I$8:$I$141,H1094),INDEX(TrackMap!$L$8:$L$141,H1094))</x:f>
        <x:v>1452</x:v>
      </x:c>
      <x:c r="L1094" s="73" t="str">
        <x:f>INDEX(TrackMap!$F$8:$F$141,H1094)</x:f>
        <x:v>↓</x:v>
      </x:c>
      <x:c r="M1094" s="87" t="n">
        <x:f>MAX(0,G1094/Control!$B$17)</x:f>
        <x:v>0.9281905974476273</x:v>
      </x:c>
      <x:c r="N1094" s="73" t="n">
        <x:f>IF(N1088&gt;0,N1088,IF(G1094&gt;=Control!$B$17,A1094,0))</x:f>
        <x:v>0</x:v>
      </x:c>
      <x:c r="O1094" s="91" t="n">
        <x:f>IF(N1094&gt;0,Control!$B$17+Control!$B$8+1-N1094,G1094)-B1094/100000</x:f>
        <x:v>621.8876902899103</x:v>
      </x:c>
      <x:c r="P1094" s="73" t="n">
        <x:f>COUNTIF($O$1094:$O$1099,"&gt;"&amp;O1094)+1</x:f>
        <x:v>2</x:v>
      </x:c>
      <x:c r="Q1094" s="83" t="n">
        <x:f>MAX($G$1094:$G$1099)-G1094</x:f>
        <x:v>0.8641661950512116</x:v>
      </x:c>
      <x:c r="R1094" s="73" t="str">
        <x:f>INDEX(TrackMap!$B$8:$B$141,H1094)</x:f>
        <x:v>东侧长直道</x:v>
      </x:c>
    </x:row>
    <x:row r="1095" ht="20" customHeight="1">
      <x:c r="A1095" s="73" t="n">
        <x:v>181</x:v>
      </x:c>
      <x:c r="B1095" s="73" t="n">
        <x:v>2</x:v>
      </x:c>
      <x:c r="C1095" s="73" t="str">
        <x:f>INDEX(Drivers!$B$8:$B$13,B1095)</x:f>
        <x:v>蓝电</x:v>
      </x:c>
      <x:c r="D1095" s="83" t="n">
        <x:f>G1089</x:f>
        <x:v>601.6379946407636</x:v>
      </x:c>
      <x:c r="E1095" s="83" t="str">
        <x:f>IF(A1095=0,"GRID",IF(D1095&gt;=Control!$B$17,"FINISHED",IF(AND(A1095&gt;=INDEX(Drivers!$G$8:$G$13,B1095),A1095&lt;INDEX(Drivers!$G$8:$G$13,B1095)+INDEX(Drivers!$J$8:$J$13,B1095)),"PIT",IF(MOD(A1095+INDEX(Drivers!$F$8:$F$13,B1095),Control!$B$11)&lt;Control!$B$13,"BOOST","RACE"))))</x:f>
        <x:v>RACE</x:v>
      </x:c>
      <x:c r="F1095" s="83" t="n">
        <x:f>IF(OR(E1095="GRID",E1095="FINISHED",E1095="PIT"),0,MAX(Control!$B$15,(INDEX(Drivers!$D$8:$D$13,B1095)+INDEX(Drivers!$E$8:$E$13,B1095)*SIN((A1095+INDEX(Drivers!$F$8:$F$13,B1095)+Control!$B$16)*Control!$B$14))*INDEX(TrackMap!$M$8:$M$141,MOD(INT(D1095)-1,Control!$B$7)+1)*IF(E1095="BOOST",Control!$B$12,1)))</x:f>
        <x:v>3.2129724332245466</x:v>
      </x:c>
      <x:c r="G1095" s="83" t="n">
        <x:f>IF(A1095=0,D1095,MIN(Control!$B$17,D1095+F1095))</x:f>
        <x:v>604.8509670739882</x:v>
      </x:c>
      <x:c r="H1095" s="73" t="n">
        <x:f>MOD(INT(G1095)-1,Control!$B$7)+1</x:f>
        <x:v>68</x:v>
      </x:c>
      <x:c r="I1095" s="73" t="n">
        <x:f>MIN(Control!$B$6,MAX(1,INT(MAX(0,G1095)/Control!$B$7)+1))</x:f>
        <x:v>5</x:v>
      </x:c>
      <x:c r="J1095" s="73" t="n">
        <x:f>INDEX(Drivers!$H$8:$H$13,B1095)</x:f>
        <x:v>2</x:v>
      </x:c>
      <x:c r="K1095" s="73" t="n">
        <x:f>IF(J1095=1,INDEX(TrackMap!$I$8:$I$141,H1095),INDEX(TrackMap!$L$8:$L$141,H1095))</x:f>
        <x:v>1541</x:v>
      </x:c>
      <x:c r="L1095" s="73" t="str">
        <x:f>INDEX(TrackMap!$F$8:$F$141,H1095)</x:f>
        <x:v>→</x:v>
      </x:c>
      <x:c r="M1095" s="87" t="n">
        <x:f>MAX(0,G1095/Control!$B$17)</x:f>
        <x:v>0.9027626374238629</x:v>
      </x:c>
      <x:c r="N1095" s="73" t="n">
        <x:f>IF(N1089&gt;0,N1089,IF(G1095&gt;=Control!$B$17,A1095,0))</x:f>
        <x:v>0</x:v>
      </x:c>
      <x:c r="O1095" s="91" t="n">
        <x:f>IF(N1095&gt;0,Control!$B$17+Control!$B$8+1-N1095,G1095)-B1095/100000</x:f>
        <x:v>604.8509470739882</x:v>
      </x:c>
      <x:c r="P1095" s="73" t="n">
        <x:f>COUNTIF($O$1094:$O$1099,"&gt;"&amp;O1095)+1</x:f>
        <x:v>6</x:v>
      </x:c>
      <x:c r="Q1095" s="83" t="n">
        <x:f>MAX($G$1094:$G$1099)-G1095</x:f>
        <x:v>17.900899410973352</x:v>
      </x:c>
      <x:c r="R1095" s="73" t="str">
        <x:f>INDEX(TrackMap!$B$8:$B$141,H1095)</x:f>
        <x:v>中央高速直道</x:v>
      </x:c>
    </x:row>
    <x:row r="1096" ht="20" customHeight="1">
      <x:c r="A1096" s="73" t="n">
        <x:v>181</x:v>
      </x:c>
      <x:c r="B1096" s="73" t="n">
        <x:v>3</x:v>
      </x:c>
      <x:c r="C1096" s="73" t="str">
        <x:f>INDEX(Drivers!$B$8:$B$13,B1096)</x:f>
        <x:v>金翼</x:v>
      </x:c>
      <x:c r="D1096" s="83" t="n">
        <x:f>G1090</x:f>
        <x:v>619.5010015364066</x:v>
      </x:c>
      <x:c r="E1096" s="83" t="str">
        <x:f>IF(A1096=0,"GRID",IF(D1096&gt;=Control!$B$17,"FINISHED",IF(AND(A1096&gt;=INDEX(Drivers!$G$8:$G$13,B1096),A1096&lt;INDEX(Drivers!$G$8:$G$13,B1096)+INDEX(Drivers!$J$8:$J$13,B1096)),"PIT",IF(MOD(A1096+INDEX(Drivers!$F$8:$F$13,B1096),Control!$B$11)&lt;Control!$B$13,"BOOST","RACE"))))</x:f>
        <x:v>RACE</x:v>
      </x:c>
      <x:c r="F1096" s="83" t="n">
        <x:f>IF(OR(E1096="GRID",E1096="FINISHED",E1096="PIT"),0,MAX(Control!$B$15,(INDEX(Drivers!$D$8:$D$13,B1096)+INDEX(Drivers!$E$8:$E$13,B1096)*SIN((A1096+INDEX(Drivers!$F$8:$F$13,B1096)+Control!$B$16)*Control!$B$14))*INDEX(TrackMap!$M$8:$M$141,MOD(INT(D1096)-1,Control!$B$7)+1)*IF(E1096="BOOST",Control!$B$12,1)))</x:f>
        <x:v>3.2508649485549004</x:v>
      </x:c>
      <x:c r="G1096" s="83" t="n">
        <x:f>IF(A1096=0,D1096,MIN(Control!$B$17,D1096+F1096))</x:f>
        <x:v>622.7518664849615</x:v>
      </x:c>
      <x:c r="H1096" s="73" t="n">
        <x:f>MOD(INT(G1096)-1,Control!$B$7)+1</x:f>
        <x:v>86</x:v>
      </x:c>
      <x:c r="I1096" s="73" t="n">
        <x:f>MIN(Control!$B$6,MAX(1,INT(MAX(0,G1096)/Control!$B$7)+1))</x:f>
        <x:v>5</x:v>
      </x:c>
      <x:c r="J1096" s="73" t="n">
        <x:f>INDEX(Drivers!$H$8:$H$13,B1096)</x:f>
        <x:v>1</x:v>
      </x:c>
      <x:c r="K1096" s="73" t="n">
        <x:f>IF(J1096=1,INDEX(TrackMap!$I$8:$I$141,H1096),INDEX(TrackMap!$L$8:$L$141,H1096))</x:f>
        <x:v>1552</x:v>
      </x:c>
      <x:c r="L1096" s="73" t="str">
        <x:f>INDEX(TrackMap!$F$8:$F$141,H1096)</x:f>
        <x:v>↓</x:v>
      </x:c>
      <x:c r="M1096" s="87" t="n">
        <x:f>MAX(0,G1096/Control!$B$17)</x:f>
        <x:v>0.9294803977387486</x:v>
      </x:c>
      <x:c r="N1096" s="73" t="n">
        <x:f>IF(N1090&gt;0,N1090,IF(G1096&gt;=Control!$B$17,A1096,0))</x:f>
        <x:v>0</x:v>
      </x:c>
      <x:c r="O1096" s="91" t="n">
        <x:f>IF(N1096&gt;0,Control!$B$17+Control!$B$8+1-N1096,G1096)-B1096/100000</x:f>
        <x:v>622.7518364849615</x:v>
      </x:c>
      <x:c r="P1096" s="73" t="n">
        <x:f>COUNTIF($O$1094:$O$1099,"&gt;"&amp;O1096)+1</x:f>
        <x:v>1</x:v>
      </x:c>
      <x:c r="Q1096" s="83" t="n">
        <x:f>MAX($G$1094:$G$1099)-G1096</x:f>
        <x:v>0</x:v>
      </x:c>
      <x:c r="R1096" s="73" t="str">
        <x:f>INDEX(TrackMap!$B$8:$B$141,H1096)</x:f>
        <x:v>东侧长直道</x:v>
      </x:c>
    </x:row>
    <x:row r="1097" ht="20" customHeight="1">
      <x:c r="A1097" s="73" t="n">
        <x:v>181</x:v>
      </x:c>
      <x:c r="B1097" s="73" t="n">
        <x:v>4</x:v>
      </x:c>
      <x:c r="C1097" s="73" t="str">
        <x:f>INDEX(Drivers!$B$8:$B$13,B1097)</x:f>
        <x:v>紫影</x:v>
      </x:c>
      <x:c r="D1097" s="83" t="n">
        <x:f>G1091</x:f>
        <x:v>606.4663589869392</x:v>
      </x:c>
      <x:c r="E1097" s="83" t="str">
        <x:f>IF(A1097=0,"GRID",IF(D1097&gt;=Control!$B$17,"FINISHED",IF(AND(A1097&gt;=INDEX(Drivers!$G$8:$G$13,B1097),A1097&lt;INDEX(Drivers!$G$8:$G$13,B1097)+INDEX(Drivers!$J$8:$J$13,B1097)),"PIT",IF(MOD(A1097+INDEX(Drivers!$F$8:$F$13,B1097),Control!$B$11)&lt;Control!$B$13,"BOOST","RACE"))))</x:f>
        <x:v>RACE</x:v>
      </x:c>
      <x:c r="F1097" s="83" t="n">
        <x:f>IF(OR(E1097="GRID",E1097="FINISHED",E1097="PIT"),0,MAX(Control!$B$15,(INDEX(Drivers!$D$8:$D$13,B1097)+INDEX(Drivers!$E$8:$E$13,B1097)*SIN((A1097+INDEX(Drivers!$F$8:$F$13,B1097)+Control!$B$16)*Control!$B$14))*INDEX(TrackMap!$M$8:$M$141,MOD(INT(D1097)-1,Control!$B$7)+1)*IF(E1097="BOOST",Control!$B$12,1)))</x:f>
        <x:v>2.363793713492828</x:v>
      </x:c>
      <x:c r="G1097" s="83" t="n">
        <x:f>IF(A1097=0,D1097,MIN(Control!$B$17,D1097+F1097))</x:f>
        <x:v>608.830152700432</x:v>
      </x:c>
      <x:c r="H1097" s="73" t="n">
        <x:f>MOD(INT(G1097)-1,Control!$B$7)+1</x:f>
        <x:v>72</x:v>
      </x:c>
      <x:c r="I1097" s="73" t="n">
        <x:f>MIN(Control!$B$6,MAX(1,INT(MAX(0,G1097)/Control!$B$7)+1))</x:f>
        <x:v>5</x:v>
      </x:c>
      <x:c r="J1097" s="73" t="n">
        <x:f>INDEX(Drivers!$H$8:$H$13,B1097)</x:f>
        <x:v>2</x:v>
      </x:c>
      <x:c r="K1097" s="73" t="n">
        <x:f>IF(J1097=1,INDEX(TrackMap!$I$8:$I$141,H1097),INDEX(TrackMap!$L$8:$L$141,H1097))</x:f>
        <x:v>1445</x:v>
      </x:c>
      <x:c r="L1097" s="73" t="str">
        <x:f>INDEX(TrackMap!$F$8:$F$141,H1097)</x:f>
        <x:v>↑</x:v>
      </x:c>
      <x:c r="M1097" s="87" t="n">
        <x:f>MAX(0,G1097/Control!$B$17)</x:f>
        <x:v>0.9087017204484059</x:v>
      </x:c>
      <x:c r="N1097" s="73" t="n">
        <x:f>IF(N1091&gt;0,N1091,IF(G1097&gt;=Control!$B$17,A1097,0))</x:f>
        <x:v>0</x:v>
      </x:c>
      <x:c r="O1097" s="91" t="n">
        <x:f>IF(N1097&gt;0,Control!$B$17+Control!$B$8+1-N1097,G1097)-B1097/100000</x:f>
        <x:v>608.830112700432</x:v>
      </x:c>
      <x:c r="P1097" s="73" t="n">
        <x:f>COUNTIF($O$1094:$O$1099,"&gt;"&amp;O1097)+1</x:f>
        <x:v>5</x:v>
      </x:c>
      <x:c r="Q1097" s="83" t="n">
        <x:f>MAX($G$1094:$G$1099)-G1097</x:f>
        <x:v>13.921713784529516</x:v>
      </x:c>
      <x:c r="R1097" s="73" t="str">
        <x:f>INDEX(TrackMap!$B$8:$B$141,H1097)</x:f>
        <x:v>东侧上行弯</x:v>
      </x:c>
    </x:row>
    <x:row r="1098" ht="20" customHeight="1">
      <x:c r="A1098" s="73" t="n">
        <x:v>181</x:v>
      </x:c>
      <x:c r="B1098" s="73" t="n">
        <x:v>5</x:v>
      </x:c>
      <x:c r="C1098" s="73" t="str">
        <x:f>INDEX(Drivers!$B$8:$B$13,B1098)</x:f>
        <x:v>青锋</x:v>
      </x:c>
      <x:c r="D1098" s="83" t="n">
        <x:f>G1092</x:f>
        <x:v>614.1774972641849</x:v>
      </x:c>
      <x:c r="E1098" s="83" t="str">
        <x:f>IF(A1098=0,"GRID",IF(D1098&gt;=Control!$B$17,"FINISHED",IF(AND(A1098&gt;=INDEX(Drivers!$G$8:$G$13,B1098),A1098&lt;INDEX(Drivers!$G$8:$G$13,B1098)+INDEX(Drivers!$J$8:$J$13,B1098)),"PIT",IF(MOD(A1098+INDEX(Drivers!$F$8:$F$13,B1098),Control!$B$11)&lt;Control!$B$13,"BOOST","RACE"))))</x:f>
        <x:v>BOOST</x:v>
      </x:c>
      <x:c r="F1098" s="83" t="n">
        <x:f>IF(OR(E1098="GRID",E1098="FINISHED",E1098="PIT"),0,MAX(Control!$B$15,(INDEX(Drivers!$D$8:$D$13,B1098)+INDEX(Drivers!$E$8:$E$13,B1098)*SIN((A1098+INDEX(Drivers!$F$8:$F$13,B1098)+Control!$B$16)*Control!$B$14))*INDEX(TrackMap!$M$8:$M$141,MOD(INT(D1098)-1,Control!$B$7)+1)*IF(E1098="BOOST",Control!$B$12,1)))</x:f>
        <x:v>3.2854666602917226</x:v>
      </x:c>
      <x:c r="G1098" s="83" t="n">
        <x:f>IF(A1098=0,D1098,MIN(Control!$B$17,D1098+F1098))</x:f>
        <x:v>617.4629639244766</x:v>
      </x:c>
      <x:c r="H1098" s="73" t="n">
        <x:f>MOD(INT(G1098)-1,Control!$B$7)+1</x:f>
        <x:v>81</x:v>
      </x:c>
      <x:c r="I1098" s="73" t="n">
        <x:f>MIN(Control!$B$6,MAX(1,INT(MAX(0,G1098)/Control!$B$7)+1))</x:f>
        <x:v>5</x:v>
      </x:c>
      <x:c r="J1098" s="73" t="n">
        <x:f>INDEX(Drivers!$H$8:$H$13,B1098)</x:f>
        <x:v>1</x:v>
      </x:c>
      <x:c r="K1098" s="73" t="n">
        <x:f>IF(J1098=1,INDEX(TrackMap!$I$8:$I$141,H1098),INDEX(TrackMap!$L$8:$L$141,H1098))</x:f>
        <x:v>1051</x:v>
      </x:c>
      <x:c r="L1098" s="73" t="str">
        <x:f>INDEX(TrackMap!$F$8:$F$141,H1098)</x:f>
        <x:v>↓</x:v>
      </x:c>
      <x:c r="M1098" s="87" t="n">
        <x:f>MAX(0,G1098/Control!$B$17)</x:f>
        <x:v>0.9215865133201144</x:v>
      </x:c>
      <x:c r="N1098" s="73" t="n">
        <x:f>IF(N1092&gt;0,N1092,IF(G1098&gt;=Control!$B$17,A1098,0))</x:f>
        <x:v>0</x:v>
      </x:c>
      <x:c r="O1098" s="91" t="n">
        <x:f>IF(N1098&gt;0,Control!$B$17+Control!$B$8+1-N1098,G1098)-B1098/100000</x:f>
        <x:v>617.4629139244767</x:v>
      </x:c>
      <x:c r="P1098" s="73" t="n">
        <x:f>COUNTIF($O$1094:$O$1099,"&gt;"&amp;O1098)+1</x:f>
        <x:v>4</x:v>
      </x:c>
      <x:c r="Q1098" s="83" t="n">
        <x:f>MAX($G$1094:$G$1099)-G1098</x:f>
        <x:v>5.288902560484871</x:v>
      </x:c>
      <x:c r="R1098" s="73" t="str">
        <x:f>INDEX(TrackMap!$B$8:$B$141,H1098)</x:f>
        <x:v>东侧发卡弯</x:v>
      </x:c>
    </x:row>
    <x:row r="1099" ht="20" customHeight="1">
      <x:c r="A1099" s="73" t="n">
        <x:v>181</x:v>
      </x:c>
      <x:c r="B1099" s="73" t="n">
        <x:v>6</x:v>
      </x:c>
      <x:c r="C1099" s="73" t="str">
        <x:f>INDEX(Drivers!$B$8:$B$13,B1099)</x:f>
        <x:v>玫速</x:v>
      </x:c>
      <x:c r="D1099" s="83" t="n">
        <x:f>G1093</x:f>
        <x:v>614.5217326172645</x:v>
      </x:c>
      <x:c r="E1099" s="83" t="str">
        <x:f>IF(A1099=0,"GRID",IF(D1099&gt;=Control!$B$17,"FINISHED",IF(AND(A1099&gt;=INDEX(Drivers!$G$8:$G$13,B1099),A1099&lt;INDEX(Drivers!$G$8:$G$13,B1099)+INDEX(Drivers!$J$8:$J$13,B1099)),"PIT",IF(MOD(A1099+INDEX(Drivers!$F$8:$F$13,B1099),Control!$B$11)&lt;Control!$B$13,"BOOST","RACE"))))</x:f>
        <x:v>RACE</x:v>
      </x:c>
      <x:c r="F1099" s="83" t="n">
        <x:f>IF(OR(E1099="GRID",E1099="FINISHED",E1099="PIT"),0,MAX(Control!$B$15,(INDEX(Drivers!$D$8:$D$13,B1099)+INDEX(Drivers!$E$8:$E$13,B1099)*SIN((A1099+INDEX(Drivers!$F$8:$F$13,B1099)+Control!$B$16)*Control!$B$14))*INDEX(TrackMap!$M$8:$M$141,MOD(INT(D1099)-1,Control!$B$7)+1)*IF(E1099="BOOST",Control!$B$12,1)))</x:f>
        <x:v>3.213142848821972</x:v>
      </x:c>
      <x:c r="G1099" s="83" t="n">
        <x:f>IF(A1099=0,D1099,MIN(Control!$B$17,D1099+F1099))</x:f>
        <x:v>617.7348754660865</x:v>
      </x:c>
      <x:c r="H1099" s="73" t="n">
        <x:f>MOD(INT(G1099)-1,Control!$B$7)+1</x:f>
        <x:v>81</x:v>
      </x:c>
      <x:c r="I1099" s="73" t="n">
        <x:f>MIN(Control!$B$6,MAX(1,INT(MAX(0,G1099)/Control!$B$7)+1))</x:f>
        <x:v>5</x:v>
      </x:c>
      <x:c r="J1099" s="73" t="n">
        <x:f>INDEX(Drivers!$H$8:$H$13,B1099)</x:f>
        <x:v>2</x:v>
      </x:c>
      <x:c r="K1099" s="73" t="n">
        <x:f>IF(J1099=1,INDEX(TrackMap!$I$8:$I$141,H1099),INDEX(TrackMap!$L$8:$L$141,H1099))</x:f>
        <x:v>1050</x:v>
      </x:c>
      <x:c r="L1099" s="73" t="str">
        <x:f>INDEX(TrackMap!$F$8:$F$141,H1099)</x:f>
        <x:v>↓</x:v>
      </x:c>
      <x:c r="M1099" s="87" t="n">
        <x:f>MAX(0,G1099/Control!$B$17)</x:f>
        <x:v>0.92199235144192</x:v>
      </x:c>
      <x:c r="N1099" s="73" t="n">
        <x:f>IF(N1093&gt;0,N1093,IF(G1099&gt;=Control!$B$17,A1099,0))</x:f>
        <x:v>0</x:v>
      </x:c>
      <x:c r="O1099" s="91" t="n">
        <x:f>IF(N1099&gt;0,Control!$B$17+Control!$B$8+1-N1099,G1099)-B1099/100000</x:f>
        <x:v>617.7348154660865</x:v>
      </x:c>
      <x:c r="P1099" s="73" t="n">
        <x:f>COUNTIF($O$1094:$O$1099,"&gt;"&amp;O1099)+1</x:f>
        <x:v>3</x:v>
      </x:c>
      <x:c r="Q1099" s="83" t="n">
        <x:f>MAX($G$1094:$G$1099)-G1099</x:f>
        <x:v>5.016991018875046</x:v>
      </x:c>
      <x:c r="R1099" s="73" t="str">
        <x:f>INDEX(TrackMap!$B$8:$B$141,H1099)</x:f>
        <x:v>东侧发卡弯</x:v>
      </x:c>
    </x:row>
    <x:row r="1100" ht="20" customHeight="1">
      <x:c r="A1100" s="73" t="n">
        <x:v>182</x:v>
      </x:c>
      <x:c r="B1100" s="73" t="n">
        <x:v>1</x:v>
      </x:c>
      <x:c r="C1100" s="73" t="str">
        <x:f>INDEX(Drivers!$B$8:$B$13,B1100)</x:f>
        <x:v>赤焰</x:v>
      </x:c>
      <x:c r="D1100" s="83" t="n">
        <x:f>G1094</x:f>
        <x:v>621.8877002899103</x:v>
      </x:c>
      <x:c r="E1100" s="83" t="str">
        <x:f>IF(A1100=0,"GRID",IF(D1100&gt;=Control!$B$17,"FINISHED",IF(AND(A1100&gt;=INDEX(Drivers!$G$8:$G$13,B1100),A1100&lt;INDEX(Drivers!$G$8:$G$13,B1100)+INDEX(Drivers!$J$8:$J$13,B1100)),"PIT",IF(MOD(A1100+INDEX(Drivers!$F$8:$F$13,B1100),Control!$B$11)&lt;Control!$B$13,"BOOST","RACE"))))</x:f>
        <x:v>RACE</x:v>
      </x:c>
      <x:c r="F1100" s="83" t="n">
        <x:f>IF(OR(E1100="GRID",E1100="FINISHED",E1100="PIT"),0,MAX(Control!$B$15,(INDEX(Drivers!$D$8:$D$13,B1100)+INDEX(Drivers!$E$8:$E$13,B1100)*SIN((A1100+INDEX(Drivers!$F$8:$F$13,B1100)+Control!$B$16)*Control!$B$14))*INDEX(TrackMap!$M$8:$M$141,MOD(INT(D1100)-1,Control!$B$7)+1)*IF(E1100="BOOST",Control!$B$12,1)))</x:f>
        <x:v>3.5068158472533177</x:v>
      </x:c>
      <x:c r="G1100" s="83" t="n">
        <x:f>IF(A1100=0,D1100,MIN(Control!$B$17,D1100+F1100))</x:f>
        <x:v>625.3945161371636</x:v>
      </x:c>
      <x:c r="H1100" s="73" t="n">
        <x:f>MOD(INT(G1100)-1,Control!$B$7)+1</x:f>
        <x:v>89</x:v>
      </x:c>
      <x:c r="I1100" s="73" t="n">
        <x:f>MIN(Control!$B$6,MAX(1,INT(MAX(0,G1100)/Control!$B$7)+1))</x:f>
        <x:v>5</x:v>
      </x:c>
      <x:c r="J1100" s="73" t="n">
        <x:f>INDEX(Drivers!$H$8:$H$13,B1100)</x:f>
        <x:v>1</x:v>
      </x:c>
      <x:c r="K1100" s="73" t="n">
        <x:f>IF(J1100=1,INDEX(TrackMap!$I$8:$I$141,H1100),INDEX(TrackMap!$L$8:$L$141,H1100))</x:f>
        <x:v>1852</x:v>
      </x:c>
      <x:c r="L1100" s="73" t="str">
        <x:f>INDEX(TrackMap!$F$8:$F$141,H1100)</x:f>
        <x:v>↓</x:v>
      </x:c>
      <x:c r="M1100" s="87" t="n">
        <x:f>MAX(0,G1100/Control!$B$17)</x:f>
        <x:v>0.9334246509509904</x:v>
      </x:c>
      <x:c r="N1100" s="73" t="n">
        <x:f>IF(N1094&gt;0,N1094,IF(G1100&gt;=Control!$B$17,A1100,0))</x:f>
        <x:v>0</x:v>
      </x:c>
      <x:c r="O1100" s="91" t="n">
        <x:f>IF(N1100&gt;0,Control!$B$17+Control!$B$8+1-N1100,G1100)-B1100/100000</x:f>
        <x:v>625.3945061371636</x:v>
      </x:c>
      <x:c r="P1100" s="73" t="n">
        <x:f>COUNTIF($O$1100:$O$1105,"&gt;"&amp;O1100)+1</x:f>
        <x:v>2</x:v>
      </x:c>
      <x:c r="Q1100" s="83" t="n">
        <x:f>MAX($G$1100:$G$1105)-G1100</x:f>
        <x:v>1.4296106083078257</x:v>
      </x:c>
      <x:c r="R1100" s="73" t="str">
        <x:f>INDEX(TrackMap!$B$8:$B$141,H1100)</x:f>
        <x:v>东侧长直道</x:v>
      </x:c>
    </x:row>
    <x:row r="1101" ht="20" customHeight="1">
      <x:c r="A1101" s="73" t="n">
        <x:v>182</x:v>
      </x:c>
      <x:c r="B1101" s="73" t="n">
        <x:v>2</x:v>
      </x:c>
      <x:c r="C1101" s="73" t="str">
        <x:f>INDEX(Drivers!$B$8:$B$13,B1101)</x:f>
        <x:v>蓝电</x:v>
      </x:c>
      <x:c r="D1101" s="83" t="n">
        <x:f>G1095</x:f>
        <x:v>604.8509670739882</x:v>
      </x:c>
      <x:c r="E1101" s="83" t="str">
        <x:f>IF(A1101=0,"GRID",IF(D1101&gt;=Control!$B$17,"FINISHED",IF(AND(A1101&gt;=INDEX(Drivers!$G$8:$G$13,B1101),A1101&lt;INDEX(Drivers!$G$8:$G$13,B1101)+INDEX(Drivers!$J$8:$J$13,B1101)),"PIT",IF(MOD(A1101+INDEX(Drivers!$F$8:$F$13,B1101),Control!$B$11)&lt;Control!$B$13,"BOOST","RACE"))))</x:f>
        <x:v>RACE</x:v>
      </x:c>
      <x:c r="F1101" s="83" t="n">
        <x:f>IF(OR(E1101="GRID",E1101="FINISHED",E1101="PIT"),0,MAX(Control!$B$15,(INDEX(Drivers!$D$8:$D$13,B1101)+INDEX(Drivers!$E$8:$E$13,B1101)*SIN((A1101+INDEX(Drivers!$F$8:$F$13,B1101)+Control!$B$16)*Control!$B$14))*INDEX(TrackMap!$M$8:$M$141,MOD(INT(D1101)-1,Control!$B$7)+1)*IF(E1101="BOOST",Control!$B$12,1)))</x:f>
        <x:v>3.4094502201964403</x:v>
      </x:c>
      <x:c r="G1101" s="83" t="n">
        <x:f>IF(A1101=0,D1101,MIN(Control!$B$17,D1101+F1101))</x:f>
        <x:v>608.2604172941845</x:v>
      </x:c>
      <x:c r="H1101" s="73" t="n">
        <x:f>MOD(INT(G1101)-1,Control!$B$7)+1</x:f>
        <x:v>72</x:v>
      </x:c>
      <x:c r="I1101" s="73" t="n">
        <x:f>MIN(Control!$B$6,MAX(1,INT(MAX(0,G1101)/Control!$B$7)+1))</x:f>
        <x:v>5</x:v>
      </x:c>
      <x:c r="J1101" s="73" t="n">
        <x:f>INDEX(Drivers!$H$8:$H$13,B1101)</x:f>
        <x:v>2</x:v>
      </x:c>
      <x:c r="K1101" s="73" t="n">
        <x:f>IF(J1101=1,INDEX(TrackMap!$I$8:$I$141,H1101),INDEX(TrackMap!$L$8:$L$141,H1101))</x:f>
        <x:v>1445</x:v>
      </x:c>
      <x:c r="L1101" s="73" t="str">
        <x:f>INDEX(TrackMap!$F$8:$F$141,H1101)</x:f>
        <x:v>↑</x:v>
      </x:c>
      <x:c r="M1101" s="87" t="n">
        <x:f>MAX(0,G1101/Control!$B$17)</x:f>
        <x:v>0.9078513690957979</x:v>
      </x:c>
      <x:c r="N1101" s="73" t="n">
        <x:f>IF(N1095&gt;0,N1095,IF(G1101&gt;=Control!$B$17,A1101,0))</x:f>
        <x:v>0</x:v>
      </x:c>
      <x:c r="O1101" s="91" t="n">
        <x:f>IF(N1101&gt;0,Control!$B$17+Control!$B$8+1-N1101,G1101)-B1101/100000</x:f>
        <x:v>608.2603972941846</x:v>
      </x:c>
      <x:c r="P1101" s="73" t="n">
        <x:f>COUNTIF($O$1100:$O$1105,"&gt;"&amp;O1101)+1</x:f>
        <x:v>6</x:v>
      </x:c>
      <x:c r="Q1101" s="83" t="n">
        <x:f>MAX($G$1100:$G$1105)-G1101</x:f>
        <x:v>18.563709451286854</x:v>
      </x:c>
      <x:c r="R1101" s="73" t="str">
        <x:f>INDEX(TrackMap!$B$8:$B$141,H1101)</x:f>
        <x:v>东侧上行弯</x:v>
      </x:c>
    </x:row>
    <x:row r="1102" ht="20" customHeight="1">
      <x:c r="A1102" s="73" t="n">
        <x:v>182</x:v>
      </x:c>
      <x:c r="B1102" s="73" t="n">
        <x:v>3</x:v>
      </x:c>
      <x:c r="C1102" s="73" t="str">
        <x:f>INDEX(Drivers!$B$8:$B$13,B1102)</x:f>
        <x:v>金翼</x:v>
      </x:c>
      <x:c r="D1102" s="83" t="n">
        <x:f>G1096</x:f>
        <x:v>622.7518664849615</x:v>
      </x:c>
      <x:c r="E1102" s="83" t="str">
        <x:f>IF(A1102=0,"GRID",IF(D1102&gt;=Control!$B$17,"FINISHED",IF(AND(A1102&gt;=INDEX(Drivers!$G$8:$G$13,B1102),A1102&lt;INDEX(Drivers!$G$8:$G$13,B1102)+INDEX(Drivers!$J$8:$J$13,B1102)),"PIT",IF(MOD(A1102+INDEX(Drivers!$F$8:$F$13,B1102),Control!$B$11)&lt;Control!$B$13,"BOOST","RACE"))))</x:f>
        <x:v>RACE</x:v>
      </x:c>
      <x:c r="F1102" s="83" t="n">
        <x:f>IF(OR(E1102="GRID",E1102="FINISHED",E1102="PIT"),0,MAX(Control!$B$15,(INDEX(Drivers!$D$8:$D$13,B1102)+INDEX(Drivers!$E$8:$E$13,B1102)*SIN((A1102+INDEX(Drivers!$F$8:$F$13,B1102)+Control!$B$16)*Control!$B$14))*INDEX(TrackMap!$M$8:$M$141,MOD(INT(D1102)-1,Control!$B$7)+1)*IF(E1102="BOOST",Control!$B$12,1)))</x:f>
        <x:v>4.072260260509912</x:v>
      </x:c>
      <x:c r="G1102" s="83" t="n">
        <x:f>IF(A1102=0,D1102,MIN(Control!$B$17,D1102+F1102))</x:f>
        <x:v>626.8241267454714</x:v>
      </x:c>
      <x:c r="H1102" s="73" t="n">
        <x:f>MOD(INT(G1102)-1,Control!$B$7)+1</x:f>
        <x:v>90</x:v>
      </x:c>
      <x:c r="I1102" s="73" t="n">
        <x:f>MIN(Control!$B$6,MAX(1,INT(MAX(0,G1102)/Control!$B$7)+1))</x:f>
        <x:v>5</x:v>
      </x:c>
      <x:c r="J1102" s="73" t="n">
        <x:f>INDEX(Drivers!$H$8:$H$13,B1102)</x:f>
        <x:v>1</x:v>
      </x:c>
      <x:c r="K1102" s="73" t="n">
        <x:f>IF(J1102=1,INDEX(TrackMap!$I$8:$I$141,H1102),INDEX(TrackMap!$L$8:$L$141,H1102))</x:f>
        <x:v>1952</x:v>
      </x:c>
      <x:c r="L1102" s="73" t="str">
        <x:f>INDEX(TrackMap!$F$8:$F$141,H1102)</x:f>
        <x:v>↓</x:v>
      </x:c>
      <x:c r="M1102" s="87" t="n">
        <x:f>MAX(0,G1102/Control!$B$17)</x:f>
        <x:v>0.9355583981275692</x:v>
      </x:c>
      <x:c r="N1102" s="73" t="n">
        <x:f>IF(N1096&gt;0,N1096,IF(G1102&gt;=Control!$B$17,A1102,0))</x:f>
        <x:v>0</x:v>
      </x:c>
      <x:c r="O1102" s="91" t="n">
        <x:f>IF(N1102&gt;0,Control!$B$17+Control!$B$8+1-N1102,G1102)-B1102/100000</x:f>
        <x:v>626.8240967454714</x:v>
      </x:c>
      <x:c r="P1102" s="73" t="n">
        <x:f>COUNTIF($O$1100:$O$1105,"&gt;"&amp;O1102)+1</x:f>
        <x:v>1</x:v>
      </x:c>
      <x:c r="Q1102" s="83" t="n">
        <x:f>MAX($G$1100:$G$1105)-G1102</x:f>
        <x:v>0</x:v>
      </x:c>
      <x:c r="R1102" s="73" t="str">
        <x:f>INDEX(TrackMap!$B$8:$B$141,H1102)</x:f>
        <x:v>东侧长直道</x:v>
      </x:c>
    </x:row>
    <x:row r="1103" ht="20" customHeight="1">
      <x:c r="A1103" s="73" t="n">
        <x:v>182</x:v>
      </x:c>
      <x:c r="B1103" s="73" t="n">
        <x:v>4</x:v>
      </x:c>
      <x:c r="C1103" s="73" t="str">
        <x:f>INDEX(Drivers!$B$8:$B$13,B1103)</x:f>
        <x:v>紫影</x:v>
      </x:c>
      <x:c r="D1103" s="83" t="n">
        <x:f>G1097</x:f>
        <x:v>608.830152700432</x:v>
      </x:c>
      <x:c r="E1103" s="83" t="str">
        <x:f>IF(A1103=0,"GRID",IF(D1103&gt;=Control!$B$17,"FINISHED",IF(AND(A1103&gt;=INDEX(Drivers!$G$8:$G$13,B1103),A1103&lt;INDEX(Drivers!$G$8:$G$13,B1103)+INDEX(Drivers!$J$8:$J$13,B1103)),"PIT",IF(MOD(A1103+INDEX(Drivers!$F$8:$F$13,B1103),Control!$B$11)&lt;Control!$B$13,"BOOST","RACE"))))</x:f>
        <x:v>RACE</x:v>
      </x:c>
      <x:c r="F1103" s="83" t="n">
        <x:f>IF(OR(E1103="GRID",E1103="FINISHED",E1103="PIT"),0,MAX(Control!$B$15,(INDEX(Drivers!$D$8:$D$13,B1103)+INDEX(Drivers!$E$8:$E$13,B1103)*SIN((A1103+INDEX(Drivers!$F$8:$F$13,B1103)+Control!$B$16)*Control!$B$14))*INDEX(TrackMap!$M$8:$M$141,MOD(INT(D1103)-1,Control!$B$7)+1)*IF(E1103="BOOST",Control!$B$12,1)))</x:f>
        <x:v>2.36285957523228</x:v>
      </x:c>
      <x:c r="G1103" s="83" t="n">
        <x:f>IF(A1103=0,D1103,MIN(Control!$B$17,D1103+F1103))</x:f>
        <x:v>611.1930122756643</x:v>
      </x:c>
      <x:c r="H1103" s="73" t="n">
        <x:f>MOD(INT(G1103)-1,Control!$B$7)+1</x:f>
        <x:v>75</x:v>
      </x:c>
      <x:c r="I1103" s="73" t="n">
        <x:f>MIN(Control!$B$6,MAX(1,INT(MAX(0,G1103)/Control!$B$7)+1))</x:f>
        <x:v>5</x:v>
      </x:c>
      <x:c r="J1103" s="73" t="n">
        <x:f>INDEX(Drivers!$H$8:$H$13,B1103)</x:f>
        <x:v>2</x:v>
      </x:c>
      <x:c r="K1103" s="73" t="n">
        <x:f>IF(J1103=1,INDEX(TrackMap!$I$8:$I$141,H1103),INDEX(TrackMap!$L$8:$L$141,H1103))</x:f>
        <x:v>1145</x:v>
      </x:c>
      <x:c r="L1103" s="73" t="str">
        <x:f>INDEX(TrackMap!$F$8:$F$141,H1103)</x:f>
        <x:v>↑</x:v>
      </x:c>
      <x:c r="M1103" s="87" t="n">
        <x:f>MAX(0,G1103/Control!$B$17)</x:f>
        <x:v>0.9122283765308422</x:v>
      </x:c>
      <x:c r="N1103" s="73" t="n">
        <x:f>IF(N1097&gt;0,N1097,IF(G1103&gt;=Control!$B$17,A1103,0))</x:f>
        <x:v>0</x:v>
      </x:c>
      <x:c r="O1103" s="91" t="n">
        <x:f>IF(N1103&gt;0,Control!$B$17+Control!$B$8+1-N1103,G1103)-B1103/100000</x:f>
        <x:v>611.1929722756643</x:v>
      </x:c>
      <x:c r="P1103" s="73" t="n">
        <x:f>COUNTIF($O$1100:$O$1105,"&gt;"&amp;O1103)+1</x:f>
        <x:v>5</x:v>
      </x:c>
      <x:c r="Q1103" s="83" t="n">
        <x:f>MAX($G$1100:$G$1105)-G1103</x:f>
        <x:v>15.63111446980713</x:v>
      </x:c>
      <x:c r="R1103" s="73" t="str">
        <x:f>INDEX(TrackMap!$B$8:$B$141,H1103)</x:f>
        <x:v>东侧上行弯</x:v>
      </x:c>
    </x:row>
    <x:row r="1104" ht="20" customHeight="1">
      <x:c r="A1104" s="73" t="n">
        <x:v>182</x:v>
      </x:c>
      <x:c r="B1104" s="73" t="n">
        <x:v>5</x:v>
      </x:c>
      <x:c r="C1104" s="73" t="str">
        <x:f>INDEX(Drivers!$B$8:$B$13,B1104)</x:f>
        <x:v>青锋</x:v>
      </x:c>
      <x:c r="D1104" s="83" t="n">
        <x:f>G1098</x:f>
        <x:v>617.4629639244766</x:v>
      </x:c>
      <x:c r="E1104" s="83" t="str">
        <x:f>IF(A1104=0,"GRID",IF(D1104&gt;=Control!$B$17,"FINISHED",IF(AND(A1104&gt;=INDEX(Drivers!$G$8:$G$13,B1104),A1104&lt;INDEX(Drivers!$G$8:$G$13,B1104)+INDEX(Drivers!$J$8:$J$13,B1104)),"PIT",IF(MOD(A1104+INDEX(Drivers!$F$8:$F$13,B1104),Control!$B$11)&lt;Control!$B$13,"BOOST","RACE"))))</x:f>
        <x:v>BOOST</x:v>
      </x:c>
      <x:c r="F1104" s="83" t="n">
        <x:f>IF(OR(E1104="GRID",E1104="FINISHED",E1104="PIT"),0,MAX(Control!$B$15,(INDEX(Drivers!$D$8:$D$13,B1104)+INDEX(Drivers!$E$8:$E$13,B1104)*SIN((A1104+INDEX(Drivers!$F$8:$F$13,B1104)+Control!$B$16)*Control!$B$14))*INDEX(TrackMap!$M$8:$M$141,MOD(INT(D1104)-1,Control!$B$7)+1)*IF(E1104="BOOST",Control!$B$12,1)))</x:f>
        <x:v>3.2829633136180068</x:v>
      </x:c>
      <x:c r="G1104" s="83" t="n">
        <x:f>IF(A1104=0,D1104,MIN(Control!$B$17,D1104+F1104))</x:f>
        <x:v>620.7459272380946</x:v>
      </x:c>
      <x:c r="H1104" s="73" t="n">
        <x:f>MOD(INT(G1104)-1,Control!$B$7)+1</x:f>
        <x:v>84</x:v>
      </x:c>
      <x:c r="I1104" s="73" t="n">
        <x:f>MIN(Control!$B$6,MAX(1,INT(MAX(0,G1104)/Control!$B$7)+1))</x:f>
        <x:v>5</x:v>
      </x:c>
      <x:c r="J1104" s="73" t="n">
        <x:f>INDEX(Drivers!$H$8:$H$13,B1104)</x:f>
        <x:v>1</x:v>
      </x:c>
      <x:c r="K1104" s="73" t="n">
        <x:f>IF(J1104=1,INDEX(TrackMap!$I$8:$I$141,H1104),INDEX(TrackMap!$L$8:$L$141,H1104))</x:f>
        <x:v>1352</x:v>
      </x:c>
      <x:c r="L1104" s="73" t="str">
        <x:f>INDEX(TrackMap!$F$8:$F$141,H1104)</x:f>
        <x:v>↓</x:v>
      </x:c>
      <x:c r="M1104" s="87" t="n">
        <x:f>MAX(0,G1104/Control!$B$17)</x:f>
        <x:v>0.9264864585643203</x:v>
      </x:c>
      <x:c r="N1104" s="73" t="n">
        <x:f>IF(N1098&gt;0,N1098,IF(G1104&gt;=Control!$B$17,A1104,0))</x:f>
        <x:v>0</x:v>
      </x:c>
      <x:c r="O1104" s="91" t="n">
        <x:f>IF(N1104&gt;0,Control!$B$17+Control!$B$8+1-N1104,G1104)-B1104/100000</x:f>
        <x:v>620.7458772380946</x:v>
      </x:c>
      <x:c r="P1104" s="73" t="n">
        <x:f>COUNTIF($O$1100:$O$1105,"&gt;"&amp;O1104)+1</x:f>
        <x:v>4</x:v>
      </x:c>
      <x:c r="Q1104" s="83" t="n">
        <x:f>MAX($G$1100:$G$1105)-G1104</x:f>
        <x:v>6.07819950737678</x:v>
      </x:c>
      <x:c r="R1104" s="73" t="str">
        <x:f>INDEX(TrackMap!$B$8:$B$141,H1104)</x:f>
        <x:v>东侧长直道</x:v>
      </x:c>
    </x:row>
    <x:row r="1105" ht="20" customHeight="1">
      <x:c r="A1105" s="73" t="n">
        <x:v>182</x:v>
      </x:c>
      <x:c r="B1105" s="73" t="n">
        <x:v>6</x:v>
      </x:c>
      <x:c r="C1105" s="73" t="str">
        <x:f>INDEX(Drivers!$B$8:$B$13,B1105)</x:f>
        <x:v>玫速</x:v>
      </x:c>
      <x:c r="D1105" s="83" t="n">
        <x:f>G1099</x:f>
        <x:v>617.7348754660865</x:v>
      </x:c>
      <x:c r="E1105" s="83" t="str">
        <x:f>IF(A1105=0,"GRID",IF(D1105&gt;=Control!$B$17,"FINISHED",IF(AND(A1105&gt;=INDEX(Drivers!$G$8:$G$13,B1105),A1105&lt;INDEX(Drivers!$G$8:$G$13,B1105)+INDEX(Drivers!$J$8:$J$13,B1105)),"PIT",IF(MOD(A1105+INDEX(Drivers!$F$8:$F$13,B1105),Control!$B$11)&lt;Control!$B$13,"BOOST","RACE"))))</x:f>
        <x:v>RACE</x:v>
      </x:c>
      <x:c r="F1105" s="83" t="n">
        <x:f>IF(OR(E1105="GRID",E1105="FINISHED",E1105="PIT"),0,MAX(Control!$B$15,(INDEX(Drivers!$D$8:$D$13,B1105)+INDEX(Drivers!$E$8:$E$13,B1105)*SIN((A1105+INDEX(Drivers!$F$8:$F$13,B1105)+Control!$B$16)*Control!$B$14))*INDEX(TrackMap!$M$8:$M$141,MOD(INT(D1105)-1,Control!$B$7)+1)*IF(E1105="BOOST",Control!$B$12,1)))</x:f>
        <x:v>3.3051849574420666</x:v>
      </x:c>
      <x:c r="G1105" s="83" t="n">
        <x:f>IF(A1105=0,D1105,MIN(Control!$B$17,D1105+F1105))</x:f>
        <x:v>621.0400604235285</x:v>
      </x:c>
      <x:c r="H1105" s="73" t="n">
        <x:f>MOD(INT(G1105)-1,Control!$B$7)+1</x:f>
        <x:v>85</x:v>
      </x:c>
      <x:c r="I1105" s="73" t="n">
        <x:f>MIN(Control!$B$6,MAX(1,INT(MAX(0,G1105)/Control!$B$7)+1))</x:f>
        <x:v>5</x:v>
      </x:c>
      <x:c r="J1105" s="73" t="n">
        <x:f>INDEX(Drivers!$H$8:$H$13,B1105)</x:f>
        <x:v>2</x:v>
      </x:c>
      <x:c r="K1105" s="73" t="n">
        <x:f>IF(J1105=1,INDEX(TrackMap!$I$8:$I$141,H1105),INDEX(TrackMap!$L$8:$L$141,H1105))</x:f>
        <x:v>1451</x:v>
      </x:c>
      <x:c r="L1105" s="73" t="str">
        <x:f>INDEX(TrackMap!$F$8:$F$141,H1105)</x:f>
        <x:v>↓</x:v>
      </x:c>
      <x:c r="M1105" s="87" t="n">
        <x:f>MAX(0,G1105/Control!$B$17)</x:f>
        <x:v>0.9269254633186993</x:v>
      </x:c>
      <x:c r="N1105" s="73" t="n">
        <x:f>IF(N1099&gt;0,N1099,IF(G1105&gt;=Control!$B$17,A1105,0))</x:f>
        <x:v>0</x:v>
      </x:c>
      <x:c r="O1105" s="91" t="n">
        <x:f>IF(N1105&gt;0,Control!$B$17+Control!$B$8+1-N1105,G1105)-B1105/100000</x:f>
        <x:v>621.0400004235286</x:v>
      </x:c>
      <x:c r="P1105" s="73" t="n">
        <x:f>COUNTIF($O$1100:$O$1105,"&gt;"&amp;O1105)+1</x:f>
        <x:v>3</x:v>
      </x:c>
      <x:c r="Q1105" s="83" t="n">
        <x:f>MAX($G$1100:$G$1105)-G1105</x:f>
        <x:v>5.784066321942873</x:v>
      </x:c>
      <x:c r="R1105" s="73" t="str">
        <x:f>INDEX(TrackMap!$B$8:$B$141,H1105)</x:f>
        <x:v>东侧长直道</x:v>
      </x:c>
    </x:row>
    <x:row r="1106" ht="20" customHeight="1">
      <x:c r="A1106" s="73" t="n">
        <x:v>183</x:v>
      </x:c>
      <x:c r="B1106" s="73" t="n">
        <x:v>1</x:v>
      </x:c>
      <x:c r="C1106" s="73" t="str">
        <x:f>INDEX(Drivers!$B$8:$B$13,B1106)</x:f>
        <x:v>赤焰</x:v>
      </x:c>
      <x:c r="D1106" s="83" t="n">
        <x:f>G1100</x:f>
        <x:v>625.3945161371636</x:v>
      </x:c>
      <x:c r="E1106" s="83" t="str">
        <x:f>IF(A1106=0,"GRID",IF(D1106&gt;=Control!$B$17,"FINISHED",IF(AND(A1106&gt;=INDEX(Drivers!$G$8:$G$13,B1106),A1106&lt;INDEX(Drivers!$G$8:$G$13,B1106)+INDEX(Drivers!$J$8:$J$13,B1106)),"PIT",IF(MOD(A1106+INDEX(Drivers!$F$8:$F$13,B1106),Control!$B$11)&lt;Control!$B$13,"BOOST","RACE"))))</x:f>
        <x:v>BOOST</x:v>
      </x:c>
      <x:c r="F1106" s="83" t="n">
        <x:f>IF(OR(E1106="GRID",E1106="FINISHED",E1106="PIT"),0,MAX(Control!$B$15,(INDEX(Drivers!$D$8:$D$13,B1106)+INDEX(Drivers!$E$8:$E$13,B1106)*SIN((A1106+INDEX(Drivers!$F$8:$F$13,B1106)+Control!$B$16)*Control!$B$14))*INDEX(TrackMap!$M$8:$M$141,MOD(INT(D1106)-1,Control!$B$7)+1)*IF(E1106="BOOST",Control!$B$12,1)))</x:f>
        <x:v>4.488041256374441</x:v>
      </x:c>
      <x:c r="G1106" s="83" t="n">
        <x:f>IF(A1106=0,D1106,MIN(Control!$B$17,D1106+F1106))</x:f>
        <x:v>629.882557393538</x:v>
      </x:c>
      <x:c r="H1106" s="73" t="n">
        <x:f>MOD(INT(G1106)-1,Control!$B$7)+1</x:f>
        <x:v>93</x:v>
      </x:c>
      <x:c r="I1106" s="73" t="n">
        <x:f>MIN(Control!$B$6,MAX(1,INT(MAX(0,G1106)/Control!$B$7)+1))</x:f>
        <x:v>5</x:v>
      </x:c>
      <x:c r="J1106" s="73" t="n">
        <x:f>INDEX(Drivers!$H$8:$H$13,B1106)</x:f>
        <x:v>1</x:v>
      </x:c>
      <x:c r="K1106" s="73" t="n">
        <x:f>IF(J1106=1,INDEX(TrackMap!$I$8:$I$141,H1106),INDEX(TrackMap!$L$8:$L$141,H1106))</x:f>
        <x:v>2252</x:v>
      </x:c>
      <x:c r="L1106" s="73" t="str">
        <x:f>INDEX(TrackMap!$F$8:$F$141,H1106)</x:f>
        <x:v>↓</x:v>
      </x:c>
      <x:c r="M1106" s="87" t="n">
        <x:f>MAX(0,G1106/Control!$B$17)</x:f>
        <x:v>0.9401232199903553</x:v>
      </x:c>
      <x:c r="N1106" s="73" t="n">
        <x:f>IF(N1100&gt;0,N1100,IF(G1106&gt;=Control!$B$17,A1106,0))</x:f>
        <x:v>0</x:v>
      </x:c>
      <x:c r="O1106" s="91" t="n">
        <x:f>IF(N1106&gt;0,Control!$B$17+Control!$B$8+1-N1106,G1106)-B1106/100000</x:f>
        <x:v>629.8825473935381</x:v>
      </x:c>
      <x:c r="P1106" s="73" t="n">
        <x:f>COUNTIF($O$1106:$O$1111,"&gt;"&amp;O1106)+1</x:f>
        <x:v>2</x:v>
      </x:c>
      <x:c r="Q1106" s="83" t="n">
        <x:f>MAX($G$1106:$G$1111)-G1106</x:f>
        <x:v>0.8679306179745936</x:v>
      </x:c>
      <x:c r="R1106" s="73" t="str">
        <x:f>INDEX(TrackMap!$B$8:$B$141,H1106)</x:f>
        <x:v>东侧长直道</x:v>
      </x:c>
    </x:row>
    <x:row r="1107" ht="20" customHeight="1">
      <x:c r="A1107" s="73" t="n">
        <x:v>183</x:v>
      </x:c>
      <x:c r="B1107" s="73" t="n">
        <x:v>2</x:v>
      </x:c>
      <x:c r="C1107" s="73" t="str">
        <x:f>INDEX(Drivers!$B$8:$B$13,B1107)</x:f>
        <x:v>蓝电</x:v>
      </x:c>
      <x:c r="D1107" s="83" t="n">
        <x:f>G1101</x:f>
        <x:v>608.2604172941845</x:v>
      </x:c>
      <x:c r="E1107" s="83" t="str">
        <x:f>IF(A1107=0,"GRID",IF(D1107&gt;=Control!$B$17,"FINISHED",IF(AND(A1107&gt;=INDEX(Drivers!$G$8:$G$13,B1107),A1107&lt;INDEX(Drivers!$G$8:$G$13,B1107)+INDEX(Drivers!$J$8:$J$13,B1107)),"PIT",IF(MOD(A1107+INDEX(Drivers!$F$8:$F$13,B1107),Control!$B$11)&lt;Control!$B$13,"BOOST","RACE"))))</x:f>
        <x:v>RACE</x:v>
      </x:c>
      <x:c r="F1107" s="83" t="n">
        <x:f>IF(OR(E1107="GRID",E1107="FINISHED",E1107="PIT"),0,MAX(Control!$B$15,(INDEX(Drivers!$D$8:$D$13,B1107)+INDEX(Drivers!$E$8:$E$13,B1107)*SIN((A1107+INDEX(Drivers!$F$8:$F$13,B1107)+Control!$B$16)*Control!$B$14))*INDEX(TrackMap!$M$8:$M$141,MOD(INT(D1107)-1,Control!$B$7)+1)*IF(E1107="BOOST",Control!$B$12,1)))</x:f>
        <x:v>2.8306286734280577</x:v>
      </x:c>
      <x:c r="G1107" s="83" t="n">
        <x:f>IF(A1107=0,D1107,MIN(Control!$B$17,D1107+F1107))</x:f>
        <x:v>611.0910459676126</x:v>
      </x:c>
      <x:c r="H1107" s="73" t="n">
        <x:f>MOD(INT(G1107)-1,Control!$B$7)+1</x:f>
        <x:v>75</x:v>
      </x:c>
      <x:c r="I1107" s="73" t="n">
        <x:f>MIN(Control!$B$6,MAX(1,INT(MAX(0,G1107)/Control!$B$7)+1))</x:f>
        <x:v>5</x:v>
      </x:c>
      <x:c r="J1107" s="73" t="n">
        <x:f>INDEX(Drivers!$H$8:$H$13,B1107)</x:f>
        <x:v>2</x:v>
      </x:c>
      <x:c r="K1107" s="73" t="n">
        <x:f>IF(J1107=1,INDEX(TrackMap!$I$8:$I$141,H1107),INDEX(TrackMap!$L$8:$L$141,H1107))</x:f>
        <x:v>1145</x:v>
      </x:c>
      <x:c r="L1107" s="73" t="str">
        <x:f>INDEX(TrackMap!$F$8:$F$141,H1107)</x:f>
        <x:v>↑</x:v>
      </x:c>
      <x:c r="M1107" s="87" t="n">
        <x:f>MAX(0,G1107/Control!$B$17)</x:f>
        <x:v>0.912076188011362</x:v>
      </x:c>
      <x:c r="N1107" s="73" t="n">
        <x:f>IF(N1101&gt;0,N1101,IF(G1107&gt;=Control!$B$17,A1107,0))</x:f>
        <x:v>0</x:v>
      </x:c>
      <x:c r="O1107" s="91" t="n">
        <x:f>IF(N1107&gt;0,Control!$B$17+Control!$B$8+1-N1107,G1107)-B1107/100000</x:f>
        <x:v>611.0910259676126</x:v>
      </x:c>
      <x:c r="P1107" s="73" t="n">
        <x:f>COUNTIF($O$1106:$O$1111,"&gt;"&amp;O1107)+1</x:f>
        <x:v>6</x:v>
      </x:c>
      <x:c r="Q1107" s="83" t="n">
        <x:f>MAX($G$1106:$G$1111)-G1107</x:f>
        <x:v>19.65944204390007</x:v>
      </x:c>
      <x:c r="R1107" s="73" t="str">
        <x:f>INDEX(TrackMap!$B$8:$B$141,H1107)</x:f>
        <x:v>东侧上行弯</x:v>
      </x:c>
    </x:row>
    <x:row r="1108" ht="20" customHeight="1">
      <x:c r="A1108" s="73" t="n">
        <x:v>183</x:v>
      </x:c>
      <x:c r="B1108" s="73" t="n">
        <x:v>3</x:v>
      </x:c>
      <x:c r="C1108" s="73" t="str">
        <x:f>INDEX(Drivers!$B$8:$B$13,B1108)</x:f>
        <x:v>金翼</x:v>
      </x:c>
      <x:c r="D1108" s="83" t="n">
        <x:f>G1102</x:f>
        <x:v>626.8241267454714</x:v>
      </x:c>
      <x:c r="E1108" s="83" t="str">
        <x:f>IF(A1108=0,"GRID",IF(D1108&gt;=Control!$B$17,"FINISHED",IF(AND(A1108&gt;=INDEX(Drivers!$G$8:$G$13,B1108),A1108&lt;INDEX(Drivers!$G$8:$G$13,B1108)+INDEX(Drivers!$J$8:$J$13,B1108)),"PIT",IF(MOD(A1108+INDEX(Drivers!$F$8:$F$13,B1108),Control!$B$11)&lt;Control!$B$13,"BOOST","RACE"))))</x:f>
        <x:v>RACE</x:v>
      </x:c>
      <x:c r="F1108" s="83" t="n">
        <x:f>IF(OR(E1108="GRID",E1108="FINISHED",E1108="PIT"),0,MAX(Control!$B$15,(INDEX(Drivers!$D$8:$D$13,B1108)+INDEX(Drivers!$E$8:$E$13,B1108)*SIN((A1108+INDEX(Drivers!$F$8:$F$13,B1108)+Control!$B$16)*Control!$B$14))*INDEX(TrackMap!$M$8:$M$141,MOD(INT(D1108)-1,Control!$B$7)+1)*IF(E1108="BOOST",Control!$B$12,1)))</x:f>
        <x:v>3.9263612660412552</x:v>
      </x:c>
      <x:c r="G1108" s="83" t="n">
        <x:f>IF(A1108=0,D1108,MIN(Control!$B$17,D1108+F1108))</x:f>
        <x:v>630.7504880115126</x:v>
      </x:c>
      <x:c r="H1108" s="73" t="n">
        <x:f>MOD(INT(G1108)-1,Control!$B$7)+1</x:f>
        <x:v>94</x:v>
      </x:c>
      <x:c r="I1108" s="73" t="n">
        <x:f>MIN(Control!$B$6,MAX(1,INT(MAX(0,G1108)/Control!$B$7)+1))</x:f>
        <x:v>5</x:v>
      </x:c>
      <x:c r="J1108" s="73" t="n">
        <x:f>INDEX(Drivers!$H$8:$H$13,B1108)</x:f>
        <x:v>1</x:v>
      </x:c>
      <x:c r="K1108" s="73" t="n">
        <x:f>IF(J1108=1,INDEX(TrackMap!$I$8:$I$141,H1108),INDEX(TrackMap!$L$8:$L$141,H1108))</x:f>
        <x:v>2352</x:v>
      </x:c>
      <x:c r="L1108" s="73" t="str">
        <x:f>INDEX(TrackMap!$F$8:$F$141,H1108)</x:f>
        <x:v>↓</x:v>
      </x:c>
      <x:c r="M1108" s="87" t="n">
        <x:f>MAX(0,G1108/Control!$B$17)</x:f>
        <x:v>0.9414186388231531</x:v>
      </x:c>
      <x:c r="N1108" s="73" t="n">
        <x:f>IF(N1102&gt;0,N1102,IF(G1108&gt;=Control!$B$17,A1108,0))</x:f>
        <x:v>0</x:v>
      </x:c>
      <x:c r="O1108" s="91" t="n">
        <x:f>IF(N1108&gt;0,Control!$B$17+Control!$B$8+1-N1108,G1108)-B1108/100000</x:f>
        <x:v>630.7504580115126</x:v>
      </x:c>
      <x:c r="P1108" s="73" t="n">
        <x:f>COUNTIF($O$1106:$O$1111,"&gt;"&amp;O1108)+1</x:f>
        <x:v>1</x:v>
      </x:c>
      <x:c r="Q1108" s="83" t="n">
        <x:f>MAX($G$1106:$G$1111)-G1108</x:f>
        <x:v>0</x:v>
      </x:c>
      <x:c r="R1108" s="73" t="str">
        <x:f>INDEX(TrackMap!$B$8:$B$141,H1108)</x:f>
        <x:v>东侧长直道</x:v>
      </x:c>
    </x:row>
    <x:row r="1109" ht="20" customHeight="1">
      <x:c r="A1109" s="73" t="n">
        <x:v>183</x:v>
      </x:c>
      <x:c r="B1109" s="73" t="n">
        <x:v>4</x:v>
      </x:c>
      <x:c r="C1109" s="73" t="str">
        <x:f>INDEX(Drivers!$B$8:$B$13,B1109)</x:f>
        <x:v>紫影</x:v>
      </x:c>
      <x:c r="D1109" s="83" t="n">
        <x:f>G1103</x:f>
        <x:v>611.1930122756643</x:v>
      </x:c>
      <x:c r="E1109" s="83" t="str">
        <x:f>IF(A1109=0,"GRID",IF(D1109&gt;=Control!$B$17,"FINISHED",IF(AND(A1109&gt;=INDEX(Drivers!$G$8:$G$13,B1109),A1109&lt;INDEX(Drivers!$G$8:$G$13,B1109)+INDEX(Drivers!$J$8:$J$13,B1109)),"PIT",IF(MOD(A1109+INDEX(Drivers!$F$8:$F$13,B1109),Control!$B$11)&lt;Control!$B$13,"BOOST","RACE"))))</x:f>
        <x:v>RACE</x:v>
      </x:c>
      <x:c r="F1109" s="83" t="n">
        <x:f>IF(OR(E1109="GRID",E1109="FINISHED",E1109="PIT"),0,MAX(Control!$B$15,(INDEX(Drivers!$D$8:$D$13,B1109)+INDEX(Drivers!$E$8:$E$13,B1109)*SIN((A1109+INDEX(Drivers!$F$8:$F$13,B1109)+Control!$B$16)*Control!$B$14))*INDEX(TrackMap!$M$8:$M$141,MOD(INT(D1109)-1,Control!$B$7)+1)*IF(E1109="BOOST",Control!$B$12,1)))</x:f>
        <x:v>2.42217310521591</x:v>
      </x:c>
      <x:c r="G1109" s="83" t="n">
        <x:f>IF(A1109=0,D1109,MIN(Control!$B$17,D1109+F1109))</x:f>
        <x:v>613.6151853808802</x:v>
      </x:c>
      <x:c r="H1109" s="73" t="n">
        <x:f>MOD(INT(G1109)-1,Control!$B$7)+1</x:f>
        <x:v>77</x:v>
      </x:c>
      <x:c r="I1109" s="73" t="n">
        <x:f>MIN(Control!$B$6,MAX(1,INT(MAX(0,G1109)/Control!$B$7)+1))</x:f>
        <x:v>5</x:v>
      </x:c>
      <x:c r="J1109" s="73" t="n">
        <x:f>INDEX(Drivers!$H$8:$H$13,B1109)</x:f>
        <x:v>2</x:v>
      </x:c>
      <x:c r="K1109" s="73" t="n">
        <x:f>IF(J1109=1,INDEX(TrackMap!$I$8:$I$141,H1109),INDEX(TrackMap!$L$8:$L$141,H1109))</x:f>
        <x:v>946</x:v>
      </x:c>
      <x:c r="L1109" s="73" t="str">
        <x:f>INDEX(TrackMap!$F$8:$F$141,H1109)</x:f>
        <x:v>→</x:v>
      </x:c>
      <x:c r="M1109" s="87" t="n">
        <x:f>MAX(0,G1109/Control!$B$17)</x:f>
        <x:v>0.9158435602699705</x:v>
      </x:c>
      <x:c r="N1109" s="73" t="n">
        <x:f>IF(N1103&gt;0,N1103,IF(G1109&gt;=Control!$B$17,A1109,0))</x:f>
        <x:v>0</x:v>
      </x:c>
      <x:c r="O1109" s="91" t="n">
        <x:f>IF(N1109&gt;0,Control!$B$17+Control!$B$8+1-N1109,G1109)-B1109/100000</x:f>
        <x:v>613.6151453808802</x:v>
      </x:c>
      <x:c r="P1109" s="73" t="n">
        <x:f>COUNTIF($O$1106:$O$1111,"&gt;"&amp;O1109)+1</x:f>
        <x:v>5</x:v>
      </x:c>
      <x:c r="Q1109" s="83" t="n">
        <x:f>MAX($G$1106:$G$1111)-G1109</x:f>
        <x:v>17.135302630632395</x:v>
      </x:c>
      <x:c r="R1109" s="73" t="str">
        <x:f>INDEX(TrackMap!$B$8:$B$141,H1109)</x:f>
        <x:v>东侧发卡弯</x:v>
      </x:c>
    </x:row>
    <x:row r="1110" ht="20" customHeight="1">
      <x:c r="A1110" s="73" t="n">
        <x:v>183</x:v>
      </x:c>
      <x:c r="B1110" s="73" t="n">
        <x:v>5</x:v>
      </x:c>
      <x:c r="C1110" s="73" t="str">
        <x:f>INDEX(Drivers!$B$8:$B$13,B1110)</x:f>
        <x:v>青锋</x:v>
      </x:c>
      <x:c r="D1110" s="83" t="n">
        <x:f>G1104</x:f>
        <x:v>620.7459272380946</x:v>
      </x:c>
      <x:c r="E1110" s="83" t="str">
        <x:f>IF(A1110=0,"GRID",IF(D1110&gt;=Control!$B$17,"FINISHED",IF(AND(A1110&gt;=INDEX(Drivers!$G$8:$G$13,B1110),A1110&lt;INDEX(Drivers!$G$8:$G$13,B1110)+INDEX(Drivers!$J$8:$J$13,B1110)),"PIT",IF(MOD(A1110+INDEX(Drivers!$F$8:$F$13,B1110),Control!$B$11)&lt;Control!$B$13,"BOOST","RACE"))))</x:f>
        <x:v>BOOST</x:v>
      </x:c>
      <x:c r="F1110" s="83" t="n">
        <x:f>IF(OR(E1110="GRID",E1110="FINISHED",E1110="PIT"),0,MAX(Control!$B$15,(INDEX(Drivers!$D$8:$D$13,B1110)+INDEX(Drivers!$E$8:$E$13,B1110)*SIN((A1110+INDEX(Drivers!$F$8:$F$13,B1110)+Control!$B$16)*Control!$B$14))*INDEX(TrackMap!$M$8:$M$141,MOD(INT(D1110)-1,Control!$B$7)+1)*IF(E1110="BOOST",Control!$B$12,1)))</x:f>
        <x:v>4.299319023565531</x:v>
      </x:c>
      <x:c r="G1110" s="83" t="n">
        <x:f>IF(A1110=0,D1110,MIN(Control!$B$17,D1110+F1110))</x:f>
        <x:v>625.0452462616602</x:v>
      </x:c>
      <x:c r="H1110" s="73" t="n">
        <x:f>MOD(INT(G1110)-1,Control!$B$7)+1</x:f>
        <x:v>89</x:v>
      </x:c>
      <x:c r="I1110" s="73" t="n">
        <x:f>MIN(Control!$B$6,MAX(1,INT(MAX(0,G1110)/Control!$B$7)+1))</x:f>
        <x:v>5</x:v>
      </x:c>
      <x:c r="J1110" s="73" t="n">
        <x:f>INDEX(Drivers!$H$8:$H$13,B1110)</x:f>
        <x:v>1</x:v>
      </x:c>
      <x:c r="K1110" s="73" t="n">
        <x:f>IF(J1110=1,INDEX(TrackMap!$I$8:$I$141,H1110),INDEX(TrackMap!$L$8:$L$141,H1110))</x:f>
        <x:v>1852</x:v>
      </x:c>
      <x:c r="L1110" s="73" t="str">
        <x:f>INDEX(TrackMap!$F$8:$F$141,H1110)</x:f>
        <x:v>↓</x:v>
      </x:c>
      <x:c r="M1110" s="87" t="n">
        <x:f>MAX(0,G1110/Control!$B$17)</x:f>
        <x:v>0.9329033526293435</x:v>
      </x:c>
      <x:c r="N1110" s="73" t="n">
        <x:f>IF(N1104&gt;0,N1104,IF(G1110&gt;=Control!$B$17,A1110,0))</x:f>
        <x:v>0</x:v>
      </x:c>
      <x:c r="O1110" s="91" t="n">
        <x:f>IF(N1110&gt;0,Control!$B$17+Control!$B$8+1-N1110,G1110)-B1110/100000</x:f>
        <x:v>625.0451962616602</x:v>
      </x:c>
      <x:c r="P1110" s="73" t="n">
        <x:f>COUNTIF($O$1106:$O$1111,"&gt;"&amp;O1110)+1</x:f>
        <x:v>4</x:v>
      </x:c>
      <x:c r="Q1110" s="83" t="n">
        <x:f>MAX($G$1106:$G$1111)-G1110</x:f>
        <x:v>5.705241749852462</x:v>
      </x:c>
      <x:c r="R1110" s="73" t="str">
        <x:f>INDEX(TrackMap!$B$8:$B$141,H1110)</x:f>
        <x:v>东侧长直道</x:v>
      </x:c>
    </x:row>
    <x:row r="1111" ht="20" customHeight="1">
      <x:c r="A1111" s="73" t="n">
        <x:v>183</x:v>
      </x:c>
      <x:c r="B1111" s="73" t="n">
        <x:v>6</x:v>
      </x:c>
      <x:c r="C1111" s="73" t="str">
        <x:f>INDEX(Drivers!$B$8:$B$13,B1111)</x:f>
        <x:v>玫速</x:v>
      </x:c>
      <x:c r="D1111" s="83" t="n">
        <x:f>G1105</x:f>
        <x:v>621.0400604235285</x:v>
      </x:c>
      <x:c r="E1111" s="83" t="str">
        <x:f>IF(A1111=0,"GRID",IF(D1111&gt;=Control!$B$17,"FINISHED",IF(AND(A1111&gt;=INDEX(Drivers!$G$8:$G$13,B1111),A1111&lt;INDEX(Drivers!$G$8:$G$13,B1111)+INDEX(Drivers!$J$8:$J$13,B1111)),"PIT",IF(MOD(A1111+INDEX(Drivers!$F$8:$F$13,B1111),Control!$B$11)&lt;Control!$B$13,"BOOST","RACE"))))</x:f>
        <x:v>RACE</x:v>
      </x:c>
      <x:c r="F1111" s="83" t="n">
        <x:f>IF(OR(E1111="GRID",E1111="FINISHED",E1111="PIT"),0,MAX(Control!$B$15,(INDEX(Drivers!$D$8:$D$13,B1111)+INDEX(Drivers!$E$8:$E$13,B1111)*SIN((A1111+INDEX(Drivers!$F$8:$F$13,B1111)+Control!$B$16)*Control!$B$14))*INDEX(TrackMap!$M$8:$M$141,MOD(INT(D1111)-1,Control!$B$7)+1)*IF(E1111="BOOST",Control!$B$12,1)))</x:f>
        <x:v>4.279975591975403</x:v>
      </x:c>
      <x:c r="G1111" s="83" t="n">
        <x:f>IF(A1111=0,D1111,MIN(Control!$B$17,D1111+F1111))</x:f>
        <x:v>625.3200360155039</x:v>
      </x:c>
      <x:c r="H1111" s="73" t="n">
        <x:f>MOD(INT(G1111)-1,Control!$B$7)+1</x:f>
        <x:v>89</x:v>
      </x:c>
      <x:c r="I1111" s="73" t="n">
        <x:f>MIN(Control!$B$6,MAX(1,INT(MAX(0,G1111)/Control!$B$7)+1))</x:f>
        <x:v>5</x:v>
      </x:c>
      <x:c r="J1111" s="73" t="n">
        <x:f>INDEX(Drivers!$H$8:$H$13,B1111)</x:f>
        <x:v>2</x:v>
      </x:c>
      <x:c r="K1111" s="73" t="n">
        <x:f>IF(J1111=1,INDEX(TrackMap!$I$8:$I$141,H1111),INDEX(TrackMap!$L$8:$L$141,H1111))</x:f>
        <x:v>1851</x:v>
      </x:c>
      <x:c r="L1111" s="73" t="str">
        <x:f>INDEX(TrackMap!$F$8:$F$141,H1111)</x:f>
        <x:v>↓</x:v>
      </x:c>
      <x:c r="M1111" s="87" t="n">
        <x:f>MAX(0,G1111/Control!$B$17)</x:f>
        <x:v>0.9333134865903043</x:v>
      </x:c>
      <x:c r="N1111" s="73" t="n">
        <x:f>IF(N1105&gt;0,N1105,IF(G1111&gt;=Control!$B$17,A1111,0))</x:f>
        <x:v>0</x:v>
      </x:c>
      <x:c r="O1111" s="91" t="n">
        <x:f>IF(N1111&gt;0,Control!$B$17+Control!$B$8+1-N1111,G1111)-B1111/100000</x:f>
        <x:v>625.3199760155039</x:v>
      </x:c>
      <x:c r="P1111" s="73" t="n">
        <x:f>COUNTIF($O$1106:$O$1111,"&gt;"&amp;O1111)+1</x:f>
        <x:v>3</x:v>
      </x:c>
      <x:c r="Q1111" s="83" t="n">
        <x:f>MAX($G$1106:$G$1111)-G1111</x:f>
        <x:v>5.430451996008742</x:v>
      </x:c>
      <x:c r="R1111" s="73" t="str">
        <x:f>INDEX(TrackMap!$B$8:$B$141,H1111)</x:f>
        <x:v>东侧长直道</x:v>
      </x:c>
    </x:row>
    <x:row r="1112" ht="20" customHeight="1">
      <x:c r="A1112" s="73" t="n">
        <x:v>184</x:v>
      </x:c>
      <x:c r="B1112" s="73" t="n">
        <x:v>1</x:v>
      </x:c>
      <x:c r="C1112" s="73" t="str">
        <x:f>INDEX(Drivers!$B$8:$B$13,B1112)</x:f>
        <x:v>赤焰</x:v>
      </x:c>
      <x:c r="D1112" s="83" t="n">
        <x:f>G1106</x:f>
        <x:v>629.882557393538</x:v>
      </x:c>
      <x:c r="E1112" s="83" t="str">
        <x:f>IF(A1112=0,"GRID",IF(D1112&gt;=Control!$B$17,"FINISHED",IF(AND(A1112&gt;=INDEX(Drivers!$G$8:$G$13,B1112),A1112&lt;INDEX(Drivers!$G$8:$G$13,B1112)+INDEX(Drivers!$J$8:$J$13,B1112)),"PIT",IF(MOD(A1112+INDEX(Drivers!$F$8:$F$13,B1112),Control!$B$11)&lt;Control!$B$13,"BOOST","RACE"))))</x:f>
        <x:v>BOOST</x:v>
      </x:c>
      <x:c r="F1112" s="83" t="n">
        <x:f>IF(OR(E1112="GRID",E1112="FINISHED",E1112="PIT"),0,MAX(Control!$B$15,(INDEX(Drivers!$D$8:$D$13,B1112)+INDEX(Drivers!$E$8:$E$13,B1112)*SIN((A1112+INDEX(Drivers!$F$8:$F$13,B1112)+Control!$B$16)*Control!$B$14))*INDEX(TrackMap!$M$8:$M$141,MOD(INT(D1112)-1,Control!$B$7)+1)*IF(E1112="BOOST",Control!$B$12,1)))</x:f>
        <x:v>4.301359798312461</x:v>
      </x:c>
      <x:c r="G1112" s="83" t="n">
        <x:f>IF(A1112=0,D1112,MIN(Control!$B$17,D1112+F1112))</x:f>
        <x:v>634.1839171918505</x:v>
      </x:c>
      <x:c r="H1112" s="73" t="n">
        <x:f>MOD(INT(G1112)-1,Control!$B$7)+1</x:f>
        <x:v>98</x:v>
      </x:c>
      <x:c r="I1112" s="73" t="n">
        <x:f>MIN(Control!$B$6,MAX(1,INT(MAX(0,G1112)/Control!$B$7)+1))</x:f>
        <x:v>5</x:v>
      </x:c>
      <x:c r="J1112" s="73" t="n">
        <x:f>INDEX(Drivers!$H$8:$H$13,B1112)</x:f>
        <x:v>1</x:v>
      </x:c>
      <x:c r="K1112" s="73" t="n">
        <x:f>IF(J1112=1,INDEX(TrackMap!$I$8:$I$141,H1112),INDEX(TrackMap!$L$8:$L$141,H1112))</x:f>
        <x:v>2752</x:v>
      </x:c>
      <x:c r="L1112" s="73" t="str">
        <x:f>INDEX(TrackMap!$F$8:$F$141,H1112)</x:f>
        <x:v>↓</x:v>
      </x:c>
      <x:c r="M1112" s="87" t="n">
        <x:f>MAX(0,G1112/Control!$B$17)</x:f>
        <x:v>0.9465431599878366</x:v>
      </x:c>
      <x:c r="N1112" s="73" t="n">
        <x:f>IF(N1106&gt;0,N1106,IF(G1112&gt;=Control!$B$17,A1112,0))</x:f>
        <x:v>0</x:v>
      </x:c>
      <x:c r="O1112" s="91" t="n">
        <x:f>IF(N1112&gt;0,Control!$B$17+Control!$B$8+1-N1112,G1112)-B1112/100000</x:f>
        <x:v>634.1839071918505</x:v>
      </x:c>
      <x:c r="P1112" s="73" t="n">
        <x:f>COUNTIF($O$1112:$O$1117,"&gt;"&amp;O1112)+1</x:f>
        <x:v>2</x:v>
      </x:c>
      <x:c r="Q1112" s="83" t="n">
        <x:f>MAX($G$1112:$G$1117)-G1112</x:f>
        <x:v>0.31639615578478697</x:v>
      </x:c>
      <x:c r="R1112" s="73" t="str">
        <x:f>INDEX(TrackMap!$B$8:$B$141,H1112)</x:f>
        <x:v>东侧长直道</x:v>
      </x:c>
    </x:row>
    <x:row r="1113" ht="20" customHeight="1">
      <x:c r="A1113" s="73" t="n">
        <x:v>184</x:v>
      </x:c>
      <x:c r="B1113" s="73" t="n">
        <x:v>2</x:v>
      </x:c>
      <x:c r="C1113" s="73" t="str">
        <x:f>INDEX(Drivers!$B$8:$B$13,B1113)</x:f>
        <x:v>蓝电</x:v>
      </x:c>
      <x:c r="D1113" s="83" t="n">
        <x:f>G1107</x:f>
        <x:v>611.0910459676126</x:v>
      </x:c>
      <x:c r="E1113" s="83" t="str">
        <x:f>IF(A1113=0,"GRID",IF(D1113&gt;=Control!$B$17,"FINISHED",IF(AND(A1113&gt;=INDEX(Drivers!$G$8:$G$13,B1113),A1113&lt;INDEX(Drivers!$G$8:$G$13,B1113)+INDEX(Drivers!$J$8:$J$13,B1113)),"PIT",IF(MOD(A1113+INDEX(Drivers!$F$8:$F$13,B1113),Control!$B$11)&lt;Control!$B$13,"BOOST","RACE"))))</x:f>
        <x:v>RACE</x:v>
      </x:c>
      <x:c r="F1113" s="83" t="n">
        <x:f>IF(OR(E1113="GRID",E1113="FINISHED",E1113="PIT"),0,MAX(Control!$B$15,(INDEX(Drivers!$D$8:$D$13,B1113)+INDEX(Drivers!$E$8:$E$13,B1113)*SIN((A1113+INDEX(Drivers!$F$8:$F$13,B1113)+Control!$B$16)*Control!$B$14))*INDEX(TrackMap!$M$8:$M$141,MOD(INT(D1113)-1,Control!$B$7)+1)*IF(E1113="BOOST",Control!$B$12,1)))</x:f>
        <x:v>2.9967121034932123</x:v>
      </x:c>
      <x:c r="G1113" s="83" t="n">
        <x:f>IF(A1113=0,D1113,MIN(Control!$B$17,D1113+F1113))</x:f>
        <x:v>614.0877580711058</x:v>
      </x:c>
      <x:c r="H1113" s="73" t="n">
        <x:f>MOD(INT(G1113)-1,Control!$B$7)+1</x:f>
        <x:v>78</x:v>
      </x:c>
      <x:c r="I1113" s="73" t="n">
        <x:f>MIN(Control!$B$6,MAX(1,INT(MAX(0,G1113)/Control!$B$7)+1))</x:f>
        <x:v>5</x:v>
      </x:c>
      <x:c r="J1113" s="73" t="n">
        <x:f>INDEX(Drivers!$H$8:$H$13,B1113)</x:f>
        <x:v>2</x:v>
      </x:c>
      <x:c r="K1113" s="73" t="n">
        <x:f>IF(J1113=1,INDEX(TrackMap!$I$8:$I$141,H1113),INDEX(TrackMap!$L$8:$L$141,H1113))</x:f>
        <x:v>947</x:v>
      </x:c>
      <x:c r="L1113" s="73" t="str">
        <x:f>INDEX(TrackMap!$F$8:$F$141,H1113)</x:f>
        <x:v>→</x:v>
      </x:c>
      <x:c r="M1113" s="87" t="n">
        <x:f>MAX(0,G1113/Control!$B$17)</x:f>
        <x:v>0.9165488926434414</x:v>
      </x:c>
      <x:c r="N1113" s="73" t="n">
        <x:f>IF(N1107&gt;0,N1107,IF(G1113&gt;=Control!$B$17,A1113,0))</x:f>
        <x:v>0</x:v>
      </x:c>
      <x:c r="O1113" s="91" t="n">
        <x:f>IF(N1113&gt;0,Control!$B$17+Control!$B$8+1-N1113,G1113)-B1113/100000</x:f>
        <x:v>614.0877380711058</x:v>
      </x:c>
      <x:c r="P1113" s="73" t="n">
        <x:f>COUNTIF($O$1112:$O$1117,"&gt;"&amp;O1113)+1</x:f>
        <x:v>6</x:v>
      </x:c>
      <x:c r="Q1113" s="83" t="n">
        <x:f>MAX($G$1112:$G$1117)-G1113</x:f>
        <x:v>20.412555276529474</x:v>
      </x:c>
      <x:c r="R1113" s="73" t="str">
        <x:f>INDEX(TrackMap!$B$8:$B$141,H1113)</x:f>
        <x:v>东侧发卡弯</x:v>
      </x:c>
    </x:row>
    <x:row r="1114" ht="20" customHeight="1">
      <x:c r="A1114" s="73" t="n">
        <x:v>184</x:v>
      </x:c>
      <x:c r="B1114" s="73" t="n">
        <x:v>3</x:v>
      </x:c>
      <x:c r="C1114" s="73" t="str">
        <x:f>INDEX(Drivers!$B$8:$B$13,B1114)</x:f>
        <x:v>金翼</x:v>
      </x:c>
      <x:c r="D1114" s="83" t="n">
        <x:f>G1108</x:f>
        <x:v>630.7504880115126</x:v>
      </x:c>
      <x:c r="E1114" s="83" t="str">
        <x:f>IF(A1114=0,"GRID",IF(D1114&gt;=Control!$B$17,"FINISHED",IF(AND(A1114&gt;=INDEX(Drivers!$G$8:$G$13,B1114),A1114&lt;INDEX(Drivers!$G$8:$G$13,B1114)+INDEX(Drivers!$J$8:$J$13,B1114)),"PIT",IF(MOD(A1114+INDEX(Drivers!$F$8:$F$13,B1114),Control!$B$11)&lt;Control!$B$13,"BOOST","RACE"))))</x:f>
        <x:v>RACE</x:v>
      </x:c>
      <x:c r="F1114" s="83" t="n">
        <x:f>IF(OR(E1114="GRID",E1114="FINISHED",E1114="PIT"),0,MAX(Control!$B$15,(INDEX(Drivers!$D$8:$D$13,B1114)+INDEX(Drivers!$E$8:$E$13,B1114)*SIN((A1114+INDEX(Drivers!$F$8:$F$13,B1114)+Control!$B$16)*Control!$B$14))*INDEX(TrackMap!$M$8:$M$141,MOD(INT(D1114)-1,Control!$B$7)+1)*IF(E1114="BOOST",Control!$B$12,1)))</x:f>
        <x:v>3.749825336122612</x:v>
      </x:c>
      <x:c r="G1114" s="83" t="n">
        <x:f>IF(A1114=0,D1114,MIN(Control!$B$17,D1114+F1114))</x:f>
        <x:v>634.5003133476353</x:v>
      </x:c>
      <x:c r="H1114" s="73" t="n">
        <x:f>MOD(INT(G1114)-1,Control!$B$7)+1</x:f>
        <x:v>98</x:v>
      </x:c>
      <x:c r="I1114" s="73" t="n">
        <x:f>MIN(Control!$B$6,MAX(1,INT(MAX(0,G1114)/Control!$B$7)+1))</x:f>
        <x:v>5</x:v>
      </x:c>
      <x:c r="J1114" s="73" t="n">
        <x:f>INDEX(Drivers!$H$8:$H$13,B1114)</x:f>
        <x:v>1</x:v>
      </x:c>
      <x:c r="K1114" s="73" t="n">
        <x:f>IF(J1114=1,INDEX(TrackMap!$I$8:$I$141,H1114),INDEX(TrackMap!$L$8:$L$141,H1114))</x:f>
        <x:v>2752</x:v>
      </x:c>
      <x:c r="L1114" s="73" t="str">
        <x:f>INDEX(TrackMap!$F$8:$F$141,H1114)</x:f>
        <x:v>↓</x:v>
      </x:c>
      <x:c r="M1114" s="87" t="n">
        <x:f>MAX(0,G1114/Control!$B$17)</x:f>
        <x:v>0.947015393056172</x:v>
      </x:c>
      <x:c r="N1114" s="73" t="n">
        <x:f>IF(N1108&gt;0,N1108,IF(G1114&gt;=Control!$B$17,A1114,0))</x:f>
        <x:v>0</x:v>
      </x:c>
      <x:c r="O1114" s="91" t="n">
        <x:f>IF(N1114&gt;0,Control!$B$17+Control!$B$8+1-N1114,G1114)-B1114/100000</x:f>
        <x:v>634.5002833476352</x:v>
      </x:c>
      <x:c r="P1114" s="73" t="n">
        <x:f>COUNTIF($O$1112:$O$1117,"&gt;"&amp;O1114)+1</x:f>
        <x:v>1</x:v>
      </x:c>
      <x:c r="Q1114" s="83" t="n">
        <x:f>MAX($G$1112:$G$1117)-G1114</x:f>
        <x:v>0</x:v>
      </x:c>
      <x:c r="R1114" s="73" t="str">
        <x:f>INDEX(TrackMap!$B$8:$B$141,H1114)</x:f>
        <x:v>东侧长直道</x:v>
      </x:c>
    </x:row>
    <x:row r="1115" ht="20" customHeight="1">
      <x:c r="A1115" s="73" t="n">
        <x:v>184</x:v>
      </x:c>
      <x:c r="B1115" s="73" t="n">
        <x:v>4</x:v>
      </x:c>
      <x:c r="C1115" s="73" t="str">
        <x:f>INDEX(Drivers!$B$8:$B$13,B1115)</x:f>
        <x:v>紫影</x:v>
      </x:c>
      <x:c r="D1115" s="83" t="n">
        <x:f>G1109</x:f>
        <x:v>613.6151853808802</x:v>
      </x:c>
      <x:c r="E1115" s="83" t="str">
        <x:f>IF(A1115=0,"GRID",IF(D1115&gt;=Control!$B$17,"FINISHED",IF(AND(A1115&gt;=INDEX(Drivers!$G$8:$G$13,B1115),A1115&lt;INDEX(Drivers!$G$8:$G$13,B1115)+INDEX(Drivers!$J$8:$J$13,B1115)),"PIT",IF(MOD(A1115+INDEX(Drivers!$F$8:$F$13,B1115),Control!$B$11)&lt;Control!$B$13,"BOOST","RACE"))))</x:f>
        <x:v>RACE</x:v>
      </x:c>
      <x:c r="F1115" s="83" t="n">
        <x:f>IF(OR(E1115="GRID",E1115="FINISHED",E1115="PIT"),0,MAX(Control!$B$15,(INDEX(Drivers!$D$8:$D$13,B1115)+INDEX(Drivers!$E$8:$E$13,B1115)*SIN((A1115+INDEX(Drivers!$F$8:$F$13,B1115)+Control!$B$16)*Control!$B$14))*INDEX(TrackMap!$M$8:$M$141,MOD(INT(D1115)-1,Control!$B$7)+1)*IF(E1115="BOOST",Control!$B$12,1)))</x:f>
        <x:v>2.5337064954127824</x:v>
      </x:c>
      <x:c r="G1115" s="83" t="n">
        <x:f>IF(A1115=0,D1115,MIN(Control!$B$17,D1115+F1115))</x:f>
        <x:v>616.148891876293</x:v>
      </x:c>
      <x:c r="H1115" s="73" t="n">
        <x:f>MOD(INT(G1115)-1,Control!$B$7)+1</x:f>
        <x:v>80</x:v>
      </x:c>
      <x:c r="I1115" s="73" t="n">
        <x:f>MIN(Control!$B$6,MAX(1,INT(MAX(0,G1115)/Control!$B$7)+1))</x:f>
        <x:v>5</x:v>
      </x:c>
      <x:c r="J1115" s="73" t="n">
        <x:f>INDEX(Drivers!$H$8:$H$13,B1115)</x:f>
        <x:v>2</x:v>
      </x:c>
      <x:c r="K1115" s="73" t="n">
        <x:f>IF(J1115=1,INDEX(TrackMap!$I$8:$I$141,H1115),INDEX(TrackMap!$L$8:$L$141,H1115))</x:f>
        <x:v>949</x:v>
      </x:c>
      <x:c r="L1115" s="73" t="str">
        <x:f>INDEX(TrackMap!$F$8:$F$141,H1115)</x:f>
        <x:v>→</x:v>
      </x:c>
      <x:c r="M1115" s="87" t="n">
        <x:f>MAX(0,G1115/Control!$B$17)</x:f>
        <x:v>0.9196252117556611</x:v>
      </x:c>
      <x:c r="N1115" s="73" t="n">
        <x:f>IF(N1109&gt;0,N1109,IF(G1115&gt;=Control!$B$17,A1115,0))</x:f>
        <x:v>0</x:v>
      </x:c>
      <x:c r="O1115" s="91" t="n">
        <x:f>IF(N1115&gt;0,Control!$B$17+Control!$B$8+1-N1115,G1115)-B1115/100000</x:f>
        <x:v>616.148851876293</x:v>
      </x:c>
      <x:c r="P1115" s="73" t="n">
        <x:f>COUNTIF($O$1112:$O$1117,"&gt;"&amp;O1115)+1</x:f>
        <x:v>5</x:v>
      </x:c>
      <x:c r="Q1115" s="83" t="n">
        <x:f>MAX($G$1112:$G$1117)-G1115</x:f>
        <x:v>18.35142147134229</x:v>
      </x:c>
      <x:c r="R1115" s="73" t="str">
        <x:f>INDEX(TrackMap!$B$8:$B$141,H1115)</x:f>
        <x:v>东侧发卡弯</x:v>
      </x:c>
    </x:row>
    <x:row r="1116" ht="20" customHeight="1">
      <x:c r="A1116" s="73" t="n">
        <x:v>184</x:v>
      </x:c>
      <x:c r="B1116" s="73" t="n">
        <x:v>5</x:v>
      </x:c>
      <x:c r="C1116" s="73" t="str">
        <x:f>INDEX(Drivers!$B$8:$B$13,B1116)</x:f>
        <x:v>青锋</x:v>
      </x:c>
      <x:c r="D1116" s="83" t="n">
        <x:f>G1110</x:f>
        <x:v>625.0452462616602</x:v>
      </x:c>
      <x:c r="E1116" s="83" t="str">
        <x:f>IF(A1116=0,"GRID",IF(D1116&gt;=Control!$B$17,"FINISHED",IF(AND(A1116&gt;=INDEX(Drivers!$G$8:$G$13,B1116),A1116&lt;INDEX(Drivers!$G$8:$G$13,B1116)+INDEX(Drivers!$J$8:$J$13,B1116)),"PIT",IF(MOD(A1116+INDEX(Drivers!$F$8:$F$13,B1116),Control!$B$11)&lt;Control!$B$13,"BOOST","RACE"))))</x:f>
        <x:v>RACE</x:v>
      </x:c>
      <x:c r="F1116" s="83" t="n">
        <x:f>IF(OR(E1116="GRID",E1116="FINISHED",E1116="PIT"),0,MAX(Control!$B$15,(INDEX(Drivers!$D$8:$D$13,B1116)+INDEX(Drivers!$E$8:$E$13,B1116)*SIN((A1116+INDEX(Drivers!$F$8:$F$13,B1116)+Control!$B$16)*Control!$B$14))*INDEX(TrackMap!$M$8:$M$141,MOD(INT(D1116)-1,Control!$B$7)+1)*IF(E1116="BOOST",Control!$B$12,1)))</x:f>
        <x:v>3.31190944212794</x:v>
      </x:c>
      <x:c r="G1116" s="83" t="n">
        <x:f>IF(A1116=0,D1116,MIN(Control!$B$17,D1116+F1116))</x:f>
        <x:v>628.3571557037881</x:v>
      </x:c>
      <x:c r="H1116" s="73" t="n">
        <x:f>MOD(INT(G1116)-1,Control!$B$7)+1</x:f>
        <x:v>92</x:v>
      </x:c>
      <x:c r="I1116" s="73" t="n">
        <x:f>MIN(Control!$B$6,MAX(1,INT(MAX(0,G1116)/Control!$B$7)+1))</x:f>
        <x:v>5</x:v>
      </x:c>
      <x:c r="J1116" s="73" t="n">
        <x:f>INDEX(Drivers!$H$8:$H$13,B1116)</x:f>
        <x:v>1</x:v>
      </x:c>
      <x:c r="K1116" s="73" t="n">
        <x:f>IF(J1116=1,INDEX(TrackMap!$I$8:$I$141,H1116),INDEX(TrackMap!$L$8:$L$141,H1116))</x:f>
        <x:v>2152</x:v>
      </x:c>
      <x:c r="L1116" s="73" t="str">
        <x:f>INDEX(TrackMap!$F$8:$F$141,H1116)</x:f>
        <x:v>↓</x:v>
      </x:c>
      <x:c r="M1116" s="87" t="n">
        <x:f>MAX(0,G1116/Control!$B$17)</x:f>
        <x:v>0.93784650105043</x:v>
      </x:c>
      <x:c r="N1116" s="73" t="n">
        <x:f>IF(N1110&gt;0,N1110,IF(G1116&gt;=Control!$B$17,A1116,0))</x:f>
        <x:v>0</x:v>
      </x:c>
      <x:c r="O1116" s="91" t="n">
        <x:f>IF(N1116&gt;0,Control!$B$17+Control!$B$8+1-N1116,G1116)-B1116/100000</x:f>
        <x:v>628.3571057037881</x:v>
      </x:c>
      <x:c r="P1116" s="73" t="n">
        <x:f>COUNTIF($O$1112:$O$1117,"&gt;"&amp;O1116)+1</x:f>
        <x:v>4</x:v>
      </x:c>
      <x:c r="Q1116" s="83" t="n">
        <x:f>MAX($G$1112:$G$1117)-G1116</x:f>
        <x:v>6.143157643847189</x:v>
      </x:c>
      <x:c r="R1116" s="73" t="str">
        <x:f>INDEX(TrackMap!$B$8:$B$141,H1116)</x:f>
        <x:v>东侧长直道</x:v>
      </x:c>
    </x:row>
    <x:row r="1117" ht="20" customHeight="1">
      <x:c r="A1117" s="73" t="n">
        <x:v>184</x:v>
      </x:c>
      <x:c r="B1117" s="73" t="n">
        <x:v>6</x:v>
      </x:c>
      <x:c r="C1117" s="73" t="str">
        <x:f>INDEX(Drivers!$B$8:$B$13,B1117)</x:f>
        <x:v>玫速</x:v>
      </x:c>
      <x:c r="D1117" s="83" t="n">
        <x:f>G1111</x:f>
        <x:v>625.3200360155039</x:v>
      </x:c>
      <x:c r="E1117" s="83" t="str">
        <x:f>IF(A1117=0,"GRID",IF(D1117&gt;=Control!$B$17,"FINISHED",IF(AND(A1117&gt;=INDEX(Drivers!$G$8:$G$13,B1117),A1117&lt;INDEX(Drivers!$G$8:$G$13,B1117)+INDEX(Drivers!$J$8:$J$13,B1117)),"PIT",IF(MOD(A1117+INDEX(Drivers!$F$8:$F$13,B1117),Control!$B$11)&lt;Control!$B$13,"BOOST","RACE"))))</x:f>
        <x:v>RACE</x:v>
      </x:c>
      <x:c r="F1117" s="83" t="n">
        <x:f>IF(OR(E1117="GRID",E1117="FINISHED",E1117="PIT"),0,MAX(Control!$B$15,(INDEX(Drivers!$D$8:$D$13,B1117)+INDEX(Drivers!$E$8:$E$13,B1117)*SIN((A1117+INDEX(Drivers!$F$8:$F$13,B1117)+Control!$B$16)*Control!$B$14))*INDEX(TrackMap!$M$8:$M$141,MOD(INT(D1117)-1,Control!$B$7)+1)*IF(E1117="BOOST",Control!$B$12,1)))</x:f>
        <x:v>4.241330690084462</x:v>
      </x:c>
      <x:c r="G1117" s="83" t="n">
        <x:f>IF(A1117=0,D1117,MIN(Control!$B$17,D1117+F1117))</x:f>
        <x:v>629.5613667055884</x:v>
      </x:c>
      <x:c r="H1117" s="73" t="n">
        <x:f>MOD(INT(G1117)-1,Control!$B$7)+1</x:f>
        <x:v>93</x:v>
      </x:c>
      <x:c r="I1117" s="73" t="n">
        <x:f>MIN(Control!$B$6,MAX(1,INT(MAX(0,G1117)/Control!$B$7)+1))</x:f>
        <x:v>5</x:v>
      </x:c>
      <x:c r="J1117" s="73" t="n">
        <x:f>INDEX(Drivers!$H$8:$H$13,B1117)</x:f>
        <x:v>2</x:v>
      </x:c>
      <x:c r="K1117" s="73" t="n">
        <x:f>IF(J1117=1,INDEX(TrackMap!$I$8:$I$141,H1117),INDEX(TrackMap!$L$8:$L$141,H1117))</x:f>
        <x:v>2251</x:v>
      </x:c>
      <x:c r="L1117" s="73" t="str">
        <x:f>INDEX(TrackMap!$F$8:$F$141,H1117)</x:f>
        <x:v>↓</x:v>
      </x:c>
      <x:c r="M1117" s="87" t="n">
        <x:f>MAX(0,G1117/Control!$B$17)</x:f>
        <x:v>0.9396438309038633</x:v>
      </x:c>
      <x:c r="N1117" s="73" t="n">
        <x:f>IF(N1111&gt;0,N1111,IF(G1117&gt;=Control!$B$17,A1117,0))</x:f>
        <x:v>0</x:v>
      </x:c>
      <x:c r="O1117" s="91" t="n">
        <x:f>IF(N1117&gt;0,Control!$B$17+Control!$B$8+1-N1117,G1117)-B1117/100000</x:f>
        <x:v>629.5613067055884</x:v>
      </x:c>
      <x:c r="P1117" s="73" t="n">
        <x:f>COUNTIF($O$1112:$O$1117,"&gt;"&amp;O1117)+1</x:f>
        <x:v>3</x:v>
      </x:c>
      <x:c r="Q1117" s="83" t="n">
        <x:f>MAX($G$1112:$G$1117)-G1117</x:f>
        <x:v>4.938946642046858</x:v>
      </x:c>
      <x:c r="R1117" s="73" t="str">
        <x:f>INDEX(TrackMap!$B$8:$B$141,H1117)</x:f>
        <x:v>东侧长直道</x:v>
      </x:c>
    </x:row>
    <x:row r="1118" ht="20" customHeight="1">
      <x:c r="A1118" s="73" t="n">
        <x:v>185</x:v>
      </x:c>
      <x:c r="B1118" s="73" t="n">
        <x:v>1</x:v>
      </x:c>
      <x:c r="C1118" s="73" t="str">
        <x:f>INDEX(Drivers!$B$8:$B$13,B1118)</x:f>
        <x:v>赤焰</x:v>
      </x:c>
      <x:c r="D1118" s="83" t="n">
        <x:f>G1112</x:f>
        <x:v>634.1839171918505</x:v>
      </x:c>
      <x:c r="E1118" s="83" t="str">
        <x:f>IF(A1118=0,"GRID",IF(D1118&gt;=Control!$B$17,"FINISHED",IF(AND(A1118&gt;=INDEX(Drivers!$G$8:$G$13,B1118),A1118&lt;INDEX(Drivers!$G$8:$G$13,B1118)+INDEX(Drivers!$J$8:$J$13,B1118)),"PIT",IF(MOD(A1118+INDEX(Drivers!$F$8:$F$13,B1118),Control!$B$11)&lt;Control!$B$13,"BOOST","RACE"))))</x:f>
        <x:v>BOOST</x:v>
      </x:c>
      <x:c r="F1118" s="83" t="n">
        <x:f>IF(OR(E1118="GRID",E1118="FINISHED",E1118="PIT"),0,MAX(Control!$B$15,(INDEX(Drivers!$D$8:$D$13,B1118)+INDEX(Drivers!$E$8:$E$13,B1118)*SIN((A1118+INDEX(Drivers!$F$8:$F$13,B1118)+Control!$B$16)*Control!$B$14))*INDEX(TrackMap!$M$8:$M$141,MOD(INT(D1118)-1,Control!$B$7)+1)*IF(E1118="BOOST",Control!$B$12,1)))</x:f>
        <x:v>4.199423479192424</x:v>
      </x:c>
      <x:c r="G1118" s="83" t="n">
        <x:f>IF(A1118=0,D1118,MIN(Control!$B$17,D1118+F1118))</x:f>
        <x:v>638.3833406710429</x:v>
      </x:c>
      <x:c r="H1118" s="73" t="n">
        <x:f>MOD(INT(G1118)-1,Control!$B$7)+1</x:f>
        <x:v>102</x:v>
      </x:c>
      <x:c r="I1118" s="73" t="n">
        <x:f>MIN(Control!$B$6,MAX(1,INT(MAX(0,G1118)/Control!$B$7)+1))</x:f>
        <x:v>5</x:v>
      </x:c>
      <x:c r="J1118" s="73" t="n">
        <x:f>INDEX(Drivers!$H$8:$H$13,B1118)</x:f>
        <x:v>1</x:v>
      </x:c>
      <x:c r="K1118" s="73" t="n">
        <x:f>IF(J1118=1,INDEX(TrackMap!$I$8:$I$141,H1118),INDEX(TrackMap!$L$8:$L$141,H1118))</x:f>
        <x:v>3149</x:v>
      </x:c>
      <x:c r="L1118" s="73" t="str">
        <x:f>INDEX(TrackMap!$F$8:$F$141,H1118)</x:f>
        <x:v>←</x:v>
      </x:c>
      <x:c r="M1118" s="87" t="n">
        <x:f>MAX(0,G1118/Control!$B$17)</x:f>
        <x:v>0.9528109562254372</x:v>
      </x:c>
      <x:c r="N1118" s="73" t="n">
        <x:f>IF(N1112&gt;0,N1112,IF(G1118&gt;=Control!$B$17,A1118,0))</x:f>
        <x:v>0</x:v>
      </x:c>
      <x:c r="O1118" s="91" t="n">
        <x:f>IF(N1118&gt;0,Control!$B$17+Control!$B$8+1-N1118,G1118)-B1118/100000</x:f>
        <x:v>638.3833306710429</x:v>
      </x:c>
      <x:c r="P1118" s="73" t="n">
        <x:f>COUNTIF($O$1118:$O$1123,"&gt;"&amp;O1118)+1</x:f>
        <x:v>1</x:v>
      </x:c>
      <x:c r="Q1118" s="83" t="n">
        <x:f>MAX($G$1118:$G$1123)-G1118</x:f>
        <x:v>0</x:v>
      </x:c>
      <x:c r="R1118" s="73" t="str">
        <x:f>INDEX(TrackMap!$B$8:$B$141,H1118)</x:f>
        <x:v>发车大直道</x:v>
      </x:c>
    </x:row>
    <x:row r="1119" ht="20" customHeight="1">
      <x:c r="A1119" s="73" t="n">
        <x:v>185</x:v>
      </x:c>
      <x:c r="B1119" s="73" t="n">
        <x:v>2</x:v>
      </x:c>
      <x:c r="C1119" s="73" t="str">
        <x:f>INDEX(Drivers!$B$8:$B$13,B1119)</x:f>
        <x:v>蓝电</x:v>
      </x:c>
      <x:c r="D1119" s="83" t="n">
        <x:f>G1113</x:f>
        <x:v>614.0877580711058</x:v>
      </x:c>
      <x:c r="E1119" s="83" t="str">
        <x:f>IF(A1119=0,"GRID",IF(D1119&gt;=Control!$B$17,"FINISHED",IF(AND(A1119&gt;=INDEX(Drivers!$G$8:$G$13,B1119),A1119&lt;INDEX(Drivers!$G$8:$G$13,B1119)+INDEX(Drivers!$J$8:$J$13,B1119)),"PIT",IF(MOD(A1119+INDEX(Drivers!$F$8:$F$13,B1119),Control!$B$11)&lt;Control!$B$13,"BOOST","RACE"))))</x:f>
        <x:v>RACE</x:v>
      </x:c>
      <x:c r="F1119" s="83" t="n">
        <x:f>IF(OR(E1119="GRID",E1119="FINISHED",E1119="PIT"),0,MAX(Control!$B$15,(INDEX(Drivers!$D$8:$D$13,B1119)+INDEX(Drivers!$E$8:$E$13,B1119)*SIN((A1119+INDEX(Drivers!$F$8:$F$13,B1119)+Control!$B$16)*Control!$B$14))*INDEX(TrackMap!$M$8:$M$141,MOD(INT(D1119)-1,Control!$B$7)+1)*IF(E1119="BOOST",Control!$B$12,1)))</x:f>
        <x:v>3.1351428488219724</x:v>
      </x:c>
      <x:c r="G1119" s="83" t="n">
        <x:f>IF(A1119=0,D1119,MIN(Control!$B$17,D1119+F1119))</x:f>
        <x:v>617.2229009199277</x:v>
      </x:c>
      <x:c r="H1119" s="73" t="n">
        <x:f>MOD(INT(G1119)-1,Control!$B$7)+1</x:f>
        <x:v>81</x:v>
      </x:c>
      <x:c r="I1119" s="73" t="n">
        <x:f>MIN(Control!$B$6,MAX(1,INT(MAX(0,G1119)/Control!$B$7)+1))</x:f>
        <x:v>5</x:v>
      </x:c>
      <x:c r="J1119" s="73" t="n">
        <x:f>INDEX(Drivers!$H$8:$H$13,B1119)</x:f>
        <x:v>2</x:v>
      </x:c>
      <x:c r="K1119" s="73" t="n">
        <x:f>IF(J1119=1,INDEX(TrackMap!$I$8:$I$141,H1119),INDEX(TrackMap!$L$8:$L$141,H1119))</x:f>
        <x:v>1050</x:v>
      </x:c>
      <x:c r="L1119" s="73" t="str">
        <x:f>INDEX(TrackMap!$F$8:$F$141,H1119)</x:f>
        <x:v>↓</x:v>
      </x:c>
      <x:c r="M1119" s="87" t="n">
        <x:f>MAX(0,G1119/Control!$B$17)</x:f>
        <x:v>0.9212282103282503</x:v>
      </x:c>
      <x:c r="N1119" s="73" t="n">
        <x:f>IF(N1113&gt;0,N1113,IF(G1119&gt;=Control!$B$17,A1119,0))</x:f>
        <x:v>0</x:v>
      </x:c>
      <x:c r="O1119" s="91" t="n">
        <x:f>IF(N1119&gt;0,Control!$B$17+Control!$B$8+1-N1119,G1119)-B1119/100000</x:f>
        <x:v>617.2228809199278</x:v>
      </x:c>
      <x:c r="P1119" s="73" t="n">
        <x:f>COUNTIF($O$1118:$O$1123,"&gt;"&amp;O1119)+1</x:f>
        <x:v>6</x:v>
      </x:c>
      <x:c r="Q1119" s="83" t="n">
        <x:f>MAX($G$1118:$G$1123)-G1119</x:f>
        <x:v>21.160439751115177</x:v>
      </x:c>
      <x:c r="R1119" s="73" t="str">
        <x:f>INDEX(TrackMap!$B$8:$B$141,H1119)</x:f>
        <x:v>东侧发卡弯</x:v>
      </x:c>
    </x:row>
    <x:row r="1120" ht="20" customHeight="1">
      <x:c r="A1120" s="73" t="n">
        <x:v>185</x:v>
      </x:c>
      <x:c r="B1120" s="73" t="n">
        <x:v>3</x:v>
      </x:c>
      <x:c r="C1120" s="73" t="str">
        <x:f>INDEX(Drivers!$B$8:$B$13,B1120)</x:f>
        <x:v>金翼</x:v>
      </x:c>
      <x:c r="D1120" s="83" t="n">
        <x:f>G1114</x:f>
        <x:v>634.5003133476353</x:v>
      </x:c>
      <x:c r="E1120" s="83" t="str">
        <x:f>IF(A1120=0,"GRID",IF(D1120&gt;=Control!$B$17,"FINISHED",IF(AND(A1120&gt;=INDEX(Drivers!$G$8:$G$13,B1120),A1120&lt;INDEX(Drivers!$G$8:$G$13,B1120)+INDEX(Drivers!$J$8:$J$13,B1120)),"PIT",IF(MOD(A1120+INDEX(Drivers!$F$8:$F$13,B1120),Control!$B$11)&lt;Control!$B$13,"BOOST","RACE"))))</x:f>
        <x:v>RACE</x:v>
      </x:c>
      <x:c r="F1120" s="83" t="n">
        <x:f>IF(OR(E1120="GRID",E1120="FINISHED",E1120="PIT"),0,MAX(Control!$B$15,(INDEX(Drivers!$D$8:$D$13,B1120)+INDEX(Drivers!$E$8:$E$13,B1120)*SIN((A1120+INDEX(Drivers!$F$8:$F$13,B1120)+Control!$B$16)*Control!$B$14))*INDEX(TrackMap!$M$8:$M$141,MOD(INT(D1120)-1,Control!$B$7)+1)*IF(E1120="BOOST",Control!$B$12,1)))</x:f>
        <x:v>3.566545780700991</x:v>
      </x:c>
      <x:c r="G1120" s="83" t="n">
        <x:f>IF(A1120=0,D1120,MIN(Control!$B$17,D1120+F1120))</x:f>
        <x:v>638.0668591283362</x:v>
      </x:c>
      <x:c r="H1120" s="73" t="n">
        <x:f>MOD(INT(G1120)-1,Control!$B$7)+1</x:f>
        <x:v>102</x:v>
      </x:c>
      <x:c r="I1120" s="73" t="n">
        <x:f>MIN(Control!$B$6,MAX(1,INT(MAX(0,G1120)/Control!$B$7)+1))</x:f>
        <x:v>5</x:v>
      </x:c>
      <x:c r="J1120" s="73" t="n">
        <x:f>INDEX(Drivers!$H$8:$H$13,B1120)</x:f>
        <x:v>1</x:v>
      </x:c>
      <x:c r="K1120" s="73" t="n">
        <x:f>IF(J1120=1,INDEX(TrackMap!$I$8:$I$141,H1120),INDEX(TrackMap!$L$8:$L$141,H1120))</x:f>
        <x:v>3149</x:v>
      </x:c>
      <x:c r="L1120" s="73" t="str">
        <x:f>INDEX(TrackMap!$F$8:$F$141,H1120)</x:f>
        <x:v>←</x:v>
      </x:c>
      <x:c r="M1120" s="87" t="n">
        <x:f>MAX(0,G1120/Control!$B$17)</x:f>
        <x:v>0.9523385957139346</x:v>
      </x:c>
      <x:c r="N1120" s="73" t="n">
        <x:f>IF(N1114&gt;0,N1114,IF(G1120&gt;=Control!$B$17,A1120,0))</x:f>
        <x:v>0</x:v>
      </x:c>
      <x:c r="O1120" s="91" t="n">
        <x:f>IF(N1120&gt;0,Control!$B$17+Control!$B$8+1-N1120,G1120)-B1120/100000</x:f>
        <x:v>638.0668291283362</x:v>
      </x:c>
      <x:c r="P1120" s="73" t="n">
        <x:f>COUNTIF($O$1118:$O$1123,"&gt;"&amp;O1120)+1</x:f>
        <x:v>2</x:v>
      </x:c>
      <x:c r="Q1120" s="83" t="n">
        <x:f>MAX($G$1118:$G$1123)-G1120</x:f>
        <x:v>0.31648154270669693</x:v>
      </x:c>
      <x:c r="R1120" s="73" t="str">
        <x:f>INDEX(TrackMap!$B$8:$B$141,H1120)</x:f>
        <x:v>发车大直道</x:v>
      </x:c>
    </x:row>
    <x:row r="1121" ht="20" customHeight="1">
      <x:c r="A1121" s="73" t="n">
        <x:v>185</x:v>
      </x:c>
      <x:c r="B1121" s="73" t="n">
        <x:v>4</x:v>
      </x:c>
      <x:c r="C1121" s="73" t="str">
        <x:f>INDEX(Drivers!$B$8:$B$13,B1121)</x:f>
        <x:v>紫影</x:v>
      </x:c>
      <x:c r="D1121" s="83" t="n">
        <x:f>G1115</x:f>
        <x:v>616.148891876293</x:v>
      </x:c>
      <x:c r="E1121" s="83" t="str">
        <x:f>IF(A1121=0,"GRID",IF(D1121&gt;=Control!$B$17,"FINISHED",IF(AND(A1121&gt;=INDEX(Drivers!$G$8:$G$13,B1121),A1121&lt;INDEX(Drivers!$G$8:$G$13,B1121)+INDEX(Drivers!$J$8:$J$13,B1121)),"PIT",IF(MOD(A1121+INDEX(Drivers!$F$8:$F$13,B1121),Control!$B$11)&lt;Control!$B$13,"BOOST","RACE"))))</x:f>
        <x:v>RACE</x:v>
      </x:c>
      <x:c r="F1121" s="83" t="n">
        <x:f>IF(OR(E1121="GRID",E1121="FINISHED",E1121="PIT"),0,MAX(Control!$B$15,(INDEX(Drivers!$D$8:$D$13,B1121)+INDEX(Drivers!$E$8:$E$13,B1121)*SIN((A1121+INDEX(Drivers!$F$8:$F$13,B1121)+Control!$B$16)*Control!$B$14))*INDEX(TrackMap!$M$8:$M$141,MOD(INT(D1121)-1,Control!$B$7)+1)*IF(E1121="BOOST",Control!$B$12,1)))</x:f>
        <x:v>2.6823642246865367</x:v>
      </x:c>
      <x:c r="G1121" s="83" t="n">
        <x:f>IF(A1121=0,D1121,MIN(Control!$B$17,D1121+F1121))</x:f>
        <x:v>618.8312561009795</x:v>
      </x:c>
      <x:c r="H1121" s="73" t="n">
        <x:f>MOD(INT(G1121)-1,Control!$B$7)+1</x:f>
        <x:v>82</x:v>
      </x:c>
      <x:c r="I1121" s="73" t="n">
        <x:f>MIN(Control!$B$6,MAX(1,INT(MAX(0,G1121)/Control!$B$7)+1))</x:f>
        <x:v>5</x:v>
      </x:c>
      <x:c r="J1121" s="73" t="n">
        <x:f>INDEX(Drivers!$H$8:$H$13,B1121)</x:f>
        <x:v>2</x:v>
      </x:c>
      <x:c r="K1121" s="73" t="n">
        <x:f>IF(J1121=1,INDEX(TrackMap!$I$8:$I$141,H1121),INDEX(TrackMap!$L$8:$L$141,H1121))</x:f>
        <x:v>1151</x:v>
      </x:c>
      <x:c r="L1121" s="73" t="str">
        <x:f>INDEX(TrackMap!$F$8:$F$141,H1121)</x:f>
        <x:v>↓</x:v>
      </x:c>
      <x:c r="M1121" s="87" t="n">
        <x:f>MAX(0,G1121/Control!$B$17)</x:f>
        <x:v>0.9236287404492232</x:v>
      </x:c>
      <x:c r="N1121" s="73" t="n">
        <x:f>IF(N1115&gt;0,N1115,IF(G1121&gt;=Control!$B$17,A1121,0))</x:f>
        <x:v>0</x:v>
      </x:c>
      <x:c r="O1121" s="91" t="n">
        <x:f>IF(N1121&gt;0,Control!$B$17+Control!$B$8+1-N1121,G1121)-B1121/100000</x:f>
        <x:v>618.8312161009795</x:v>
      </x:c>
      <x:c r="P1121" s="73" t="n">
        <x:f>COUNTIF($O$1118:$O$1123,"&gt;"&amp;O1121)+1</x:f>
        <x:v>5</x:v>
      </x:c>
      <x:c r="Q1121" s="83" t="n">
        <x:f>MAX($G$1118:$G$1123)-G1121</x:f>
        <x:v>19.552084570063357</x:v>
      </x:c>
      <x:c r="R1121" s="73" t="str">
        <x:f>INDEX(TrackMap!$B$8:$B$141,H1121)</x:f>
        <x:v>东侧长直道</x:v>
      </x:c>
    </x:row>
    <x:row r="1122" ht="20" customHeight="1">
      <x:c r="A1122" s="73" t="n">
        <x:v>185</x:v>
      </x:c>
      <x:c r="B1122" s="73" t="n">
        <x:v>5</x:v>
      </x:c>
      <x:c r="C1122" s="73" t="str">
        <x:f>INDEX(Drivers!$B$8:$B$13,B1122)</x:f>
        <x:v>青锋</x:v>
      </x:c>
      <x:c r="D1122" s="83" t="n">
        <x:f>G1116</x:f>
        <x:v>628.3571557037881</x:v>
      </x:c>
      <x:c r="E1122" s="83" t="str">
        <x:f>IF(A1122=0,"GRID",IF(D1122&gt;=Control!$B$17,"FINISHED",IF(AND(A1122&gt;=INDEX(Drivers!$G$8:$G$13,B1122),A1122&lt;INDEX(Drivers!$G$8:$G$13,B1122)+INDEX(Drivers!$J$8:$J$13,B1122)),"PIT",IF(MOD(A1122+INDEX(Drivers!$F$8:$F$13,B1122),Control!$B$11)&lt;Control!$B$13,"BOOST","RACE"))))</x:f>
        <x:v>RACE</x:v>
      </x:c>
      <x:c r="F1122" s="83" t="n">
        <x:f>IF(OR(E1122="GRID",E1122="FINISHED",E1122="PIT"),0,MAX(Control!$B$15,(INDEX(Drivers!$D$8:$D$13,B1122)+INDEX(Drivers!$E$8:$E$13,B1122)*SIN((A1122+INDEX(Drivers!$F$8:$F$13,B1122)+Control!$B$16)*Control!$B$14))*INDEX(TrackMap!$M$8:$M$141,MOD(INT(D1122)-1,Control!$B$7)+1)*IF(E1122="BOOST",Control!$B$12,1)))</x:f>
        <x:v>3.482190190836915</x:v>
      </x:c>
      <x:c r="G1122" s="83" t="n">
        <x:f>IF(A1122=0,D1122,MIN(Control!$B$17,D1122+F1122))</x:f>
        <x:v>631.839345894625</x:v>
      </x:c>
      <x:c r="H1122" s="73" t="n">
        <x:f>MOD(INT(G1122)-1,Control!$B$7)+1</x:f>
        <x:v>95</x:v>
      </x:c>
      <x:c r="I1122" s="73" t="n">
        <x:f>MIN(Control!$B$6,MAX(1,INT(MAX(0,G1122)/Control!$B$7)+1))</x:f>
        <x:v>5</x:v>
      </x:c>
      <x:c r="J1122" s="73" t="n">
        <x:f>INDEX(Drivers!$H$8:$H$13,B1122)</x:f>
        <x:v>1</x:v>
      </x:c>
      <x:c r="K1122" s="73" t="n">
        <x:f>IF(J1122=1,INDEX(TrackMap!$I$8:$I$141,H1122),INDEX(TrackMap!$L$8:$L$141,H1122))</x:f>
        <x:v>2452</x:v>
      </x:c>
      <x:c r="L1122" s="73" t="str">
        <x:f>INDEX(TrackMap!$F$8:$F$141,H1122)</x:f>
        <x:v>↓</x:v>
      </x:c>
      <x:c r="M1122" s="87" t="n">
        <x:f>MAX(0,G1122/Control!$B$17)</x:f>
        <x:v>0.9430437998427239</x:v>
      </x:c>
      <x:c r="N1122" s="73" t="n">
        <x:f>IF(N1116&gt;0,N1116,IF(G1122&gt;=Control!$B$17,A1122,0))</x:f>
        <x:v>0</x:v>
      </x:c>
      <x:c r="O1122" s="91" t="n">
        <x:f>IF(N1122&gt;0,Control!$B$17+Control!$B$8+1-N1122,G1122)-B1122/100000</x:f>
        <x:v>631.839295894625</x:v>
      </x:c>
      <x:c r="P1122" s="73" t="n">
        <x:f>COUNTIF($O$1118:$O$1123,"&gt;"&amp;O1122)+1</x:f>
        <x:v>4</x:v>
      </x:c>
      <x:c r="Q1122" s="83" t="n">
        <x:f>MAX($G$1118:$G$1123)-G1122</x:f>
        <x:v>6.54399477641789</x:v>
      </x:c>
      <x:c r="R1122" s="73" t="str">
        <x:f>INDEX(TrackMap!$B$8:$B$141,H1122)</x:f>
        <x:v>东侧长直道</x:v>
      </x:c>
    </x:row>
    <x:row r="1123" ht="20" customHeight="1">
      <x:c r="A1123" s="73" t="n">
        <x:v>185</x:v>
      </x:c>
      <x:c r="B1123" s="73" t="n">
        <x:v>6</x:v>
      </x:c>
      <x:c r="C1123" s="73" t="str">
        <x:f>INDEX(Drivers!$B$8:$B$13,B1123)</x:f>
        <x:v>玫速</x:v>
      </x:c>
      <x:c r="D1123" s="83" t="n">
        <x:f>G1117</x:f>
        <x:v>629.5613667055884</x:v>
      </x:c>
      <x:c r="E1123" s="83" t="str">
        <x:f>IF(A1123=0,"GRID",IF(D1123&gt;=Control!$B$17,"FINISHED",IF(AND(A1123&gt;=INDEX(Drivers!$G$8:$G$13,B1123),A1123&lt;INDEX(Drivers!$G$8:$G$13,B1123)+INDEX(Drivers!$J$8:$J$13,B1123)),"PIT",IF(MOD(A1123+INDEX(Drivers!$F$8:$F$13,B1123),Control!$B$11)&lt;Control!$B$13,"BOOST","RACE"))))</x:f>
        <x:v>RACE</x:v>
      </x:c>
      <x:c r="F1123" s="83" t="n">
        <x:f>IF(OR(E1123="GRID",E1123="FINISHED",E1123="PIT"),0,MAX(Control!$B$15,(INDEX(Drivers!$D$8:$D$13,B1123)+INDEX(Drivers!$E$8:$E$13,B1123)*SIN((A1123+INDEX(Drivers!$F$8:$F$13,B1123)+Control!$B$16)*Control!$B$14))*INDEX(TrackMap!$M$8:$M$141,MOD(INT(D1123)-1,Control!$B$7)+1)*IF(E1123="BOOST",Control!$B$12,1)))</x:f>
        <x:v>4.126712312611895</x:v>
      </x:c>
      <x:c r="G1123" s="83" t="n">
        <x:f>IF(A1123=0,D1123,MIN(Control!$B$17,D1123+F1123))</x:f>
        <x:v>633.6880790182003</x:v>
      </x:c>
      <x:c r="H1123" s="73" t="n">
        <x:f>MOD(INT(G1123)-1,Control!$B$7)+1</x:f>
        <x:v>97</x:v>
      </x:c>
      <x:c r="I1123" s="73" t="n">
        <x:f>MIN(Control!$B$6,MAX(1,INT(MAX(0,G1123)/Control!$B$7)+1))</x:f>
        <x:v>5</x:v>
      </x:c>
      <x:c r="J1123" s="73" t="n">
        <x:f>INDEX(Drivers!$H$8:$H$13,B1123)</x:f>
        <x:v>2</x:v>
      </x:c>
      <x:c r="K1123" s="73" t="n">
        <x:f>IF(J1123=1,INDEX(TrackMap!$I$8:$I$141,H1123),INDEX(TrackMap!$L$8:$L$141,H1123))</x:f>
        <x:v>2651</x:v>
      </x:c>
      <x:c r="L1123" s="73" t="str">
        <x:f>INDEX(TrackMap!$F$8:$F$141,H1123)</x:f>
        <x:v>↓</x:v>
      </x:c>
      <x:c r="M1123" s="87" t="n">
        <x:f>MAX(0,G1123/Control!$B$17)</x:f>
        <x:v>0.9458031030122391</x:v>
      </x:c>
      <x:c r="N1123" s="73" t="n">
        <x:f>IF(N1117&gt;0,N1117,IF(G1123&gt;=Control!$B$17,A1123,0))</x:f>
        <x:v>0</x:v>
      </x:c>
      <x:c r="O1123" s="91" t="n">
        <x:f>IF(N1123&gt;0,Control!$B$17+Control!$B$8+1-N1123,G1123)-B1123/100000</x:f>
        <x:v>633.6880190182003</x:v>
      </x:c>
      <x:c r="P1123" s="73" t="n">
        <x:f>COUNTIF($O$1118:$O$1123,"&gt;"&amp;O1123)+1</x:f>
        <x:v>3</x:v>
      </x:c>
      <x:c r="Q1123" s="83" t="n">
        <x:f>MAX($G$1118:$G$1123)-G1123</x:f>
        <x:v>4.695261652842646</x:v>
      </x:c>
      <x:c r="R1123" s="73" t="str">
        <x:f>INDEX(TrackMap!$B$8:$B$141,H1123)</x:f>
        <x:v>东侧长直道</x:v>
      </x:c>
    </x:row>
    <x:row r="1124" ht="20" customHeight="1">
      <x:c r="A1124" s="73" t="n">
        <x:v>186</x:v>
      </x:c>
      <x:c r="B1124" s="73" t="n">
        <x:v>1</x:v>
      </x:c>
      <x:c r="C1124" s="73" t="str">
        <x:f>INDEX(Drivers!$B$8:$B$13,B1124)</x:f>
        <x:v>赤焰</x:v>
      </x:c>
      <x:c r="D1124" s="83" t="n">
        <x:f>G1118</x:f>
        <x:v>638.3833406710429</x:v>
      </x:c>
      <x:c r="E1124" s="83" t="str">
        <x:f>IF(A1124=0,"GRID",IF(D1124&gt;=Control!$B$17,"FINISHED",IF(AND(A1124&gt;=INDEX(Drivers!$G$8:$G$13,B1124),A1124&lt;INDEX(Drivers!$G$8:$G$13,B1124)+INDEX(Drivers!$J$8:$J$13,B1124)),"PIT",IF(MOD(A1124+INDEX(Drivers!$F$8:$F$13,B1124),Control!$B$11)&lt;Control!$B$13,"BOOST","RACE"))))</x:f>
        <x:v>BOOST</x:v>
      </x:c>
      <x:c r="F1124" s="83" t="n">
        <x:f>IF(OR(E1124="GRID",E1124="FINISHED",E1124="PIT"),0,MAX(Control!$B$15,(INDEX(Drivers!$D$8:$D$13,B1124)+INDEX(Drivers!$E$8:$E$13,B1124)*SIN((A1124+INDEX(Drivers!$F$8:$F$13,B1124)+Control!$B$16)*Control!$B$14))*INDEX(TrackMap!$M$8:$M$141,MOD(INT(D1124)-1,Control!$B$7)+1)*IF(E1124="BOOST",Control!$B$12,1)))</x:f>
        <x:v>3.2729025432498147</x:v>
      </x:c>
      <x:c r="G1124" s="83" t="n">
        <x:f>IF(A1124=0,D1124,MIN(Control!$B$17,D1124+F1124))</x:f>
        <x:v>641.6562432142928</x:v>
      </x:c>
      <x:c r="H1124" s="73" t="n">
        <x:f>MOD(INT(G1124)-1,Control!$B$7)+1</x:f>
        <x:v>105</x:v>
      </x:c>
      <x:c r="I1124" s="73" t="n">
        <x:f>MIN(Control!$B$6,MAX(1,INT(MAX(0,G1124)/Control!$B$7)+1))</x:f>
        <x:v>5</x:v>
      </x:c>
      <x:c r="J1124" s="73" t="n">
        <x:f>INDEX(Drivers!$H$8:$H$13,B1124)</x:f>
        <x:v>1</x:v>
      </x:c>
      <x:c r="K1124" s="73" t="n">
        <x:f>IF(J1124=1,INDEX(TrackMap!$I$8:$I$141,H1124),INDEX(TrackMap!$L$8:$L$141,H1124))</x:f>
        <x:v>3146</x:v>
      </x:c>
      <x:c r="L1124" s="73" t="str">
        <x:f>INDEX(TrackMap!$F$8:$F$141,H1124)</x:f>
        <x:v>←</x:v>
      </x:c>
      <x:c r="M1124" s="87" t="n">
        <x:f>MAX(0,G1124/Control!$B$17)</x:f>
        <x:v>0.9576958853944668</x:v>
      </x:c>
      <x:c r="N1124" s="73" t="n">
        <x:f>IF(N1118&gt;0,N1118,IF(G1124&gt;=Control!$B$17,A1124,0))</x:f>
        <x:v>0</x:v>
      </x:c>
      <x:c r="O1124" s="91" t="n">
        <x:f>IF(N1124&gt;0,Control!$B$17+Control!$B$8+1-N1124,G1124)-B1124/100000</x:f>
        <x:v>641.6562332142928</x:v>
      </x:c>
      <x:c r="P1124" s="73" t="n">
        <x:f>COUNTIF($O$1124:$O$1129,"&gt;"&amp;O1124)+1</x:f>
        <x:v>1</x:v>
      </x:c>
      <x:c r="Q1124" s="83" t="n">
        <x:f>MAX($G$1124:$G$1129)-G1124</x:f>
        <x:v>0</x:v>
      </x:c>
      <x:c r="R1124" s="73" t="str">
        <x:f>INDEX(TrackMap!$B$8:$B$141,H1124)</x:f>
        <x:v>发车大直道</x:v>
      </x:c>
    </x:row>
    <x:row r="1125" ht="20" customHeight="1">
      <x:c r="A1125" s="73" t="n">
        <x:v>186</x:v>
      </x:c>
      <x:c r="B1125" s="73" t="n">
        <x:v>2</x:v>
      </x:c>
      <x:c r="C1125" s="73" t="str">
        <x:f>INDEX(Drivers!$B$8:$B$13,B1125)</x:f>
        <x:v>蓝电</x:v>
      </x:c>
      <x:c r="D1125" s="83" t="n">
        <x:f>G1119</x:f>
        <x:v>617.2229009199277</x:v>
      </x:c>
      <x:c r="E1125" s="83" t="str">
        <x:f>IF(A1125=0,"GRID",IF(D1125&gt;=Control!$B$17,"FINISHED",IF(AND(A1125&gt;=INDEX(Drivers!$G$8:$G$13,B1125),A1125&lt;INDEX(Drivers!$G$8:$G$13,B1125)+INDEX(Drivers!$J$8:$J$13,B1125)),"PIT",IF(MOD(A1125+INDEX(Drivers!$F$8:$F$13,B1125),Control!$B$11)&lt;Control!$B$13,"BOOST","RACE"))))</x:f>
        <x:v>RACE</x:v>
      </x:c>
      <x:c r="F1125" s="83" t="n">
        <x:f>IF(OR(E1125="GRID",E1125="FINISHED",E1125="PIT"),0,MAX(Control!$B$15,(INDEX(Drivers!$D$8:$D$13,B1125)+INDEX(Drivers!$E$8:$E$13,B1125)*SIN((A1125+INDEX(Drivers!$F$8:$F$13,B1125)+Control!$B$16)*Control!$B$14))*INDEX(TrackMap!$M$8:$M$141,MOD(INT(D1125)-1,Control!$B$7)+1)*IF(E1125="BOOST",Control!$B$12,1)))</x:f>
        <x:v>3.227184957442066</x:v>
      </x:c>
      <x:c r="G1125" s="83" t="n">
        <x:f>IF(A1125=0,D1125,MIN(Control!$B$17,D1125+F1125))</x:f>
        <x:v>620.4500858773698</x:v>
      </x:c>
      <x:c r="H1125" s="73" t="n">
        <x:f>MOD(INT(G1125)-1,Control!$B$7)+1</x:f>
        <x:v>84</x:v>
      </x:c>
      <x:c r="I1125" s="73" t="n">
        <x:f>MIN(Control!$B$6,MAX(1,INT(MAX(0,G1125)/Control!$B$7)+1))</x:f>
        <x:v>5</x:v>
      </x:c>
      <x:c r="J1125" s="73" t="n">
        <x:f>INDEX(Drivers!$H$8:$H$13,B1125)</x:f>
        <x:v>2</x:v>
      </x:c>
      <x:c r="K1125" s="73" t="n">
        <x:f>IF(J1125=1,INDEX(TrackMap!$I$8:$I$141,H1125),INDEX(TrackMap!$L$8:$L$141,H1125))</x:f>
        <x:v>1351</x:v>
      </x:c>
      <x:c r="L1125" s="73" t="str">
        <x:f>INDEX(TrackMap!$F$8:$F$141,H1125)</x:f>
        <x:v>↓</x:v>
      </x:c>
      <x:c r="M1125" s="87" t="n">
        <x:f>MAX(0,G1125/Control!$B$17)</x:f>
        <x:v>0.9260449042945819</x:v>
      </x:c>
      <x:c r="N1125" s="73" t="n">
        <x:f>IF(N1119&gt;0,N1119,IF(G1125&gt;=Control!$B$17,A1125,0))</x:f>
        <x:v>0</x:v>
      </x:c>
      <x:c r="O1125" s="91" t="n">
        <x:f>IF(N1125&gt;0,Control!$B$17+Control!$B$8+1-N1125,G1125)-B1125/100000</x:f>
        <x:v>620.4500658773699</x:v>
      </x:c>
      <x:c r="P1125" s="73" t="n">
        <x:f>COUNTIF($O$1124:$O$1129,"&gt;"&amp;O1125)+1</x:f>
        <x:v>6</x:v>
      </x:c>
      <x:c r="Q1125" s="83" t="n">
        <x:f>MAX($G$1124:$G$1129)-G1125</x:f>
        <x:v>21.206157336922956</x:v>
      </x:c>
      <x:c r="R1125" s="73" t="str">
        <x:f>INDEX(TrackMap!$B$8:$B$141,H1125)</x:f>
        <x:v>东侧长直道</x:v>
      </x:c>
    </x:row>
    <x:row r="1126" ht="20" customHeight="1">
      <x:c r="A1126" s="73" t="n">
        <x:v>186</x:v>
      </x:c>
      <x:c r="B1126" s="73" t="n">
        <x:v>3</x:v>
      </x:c>
      <x:c r="C1126" s="73" t="str">
        <x:f>INDEX(Drivers!$B$8:$B$13,B1126)</x:f>
        <x:v>金翼</x:v>
      </x:c>
      <x:c r="D1126" s="83" t="n">
        <x:f>G1120</x:f>
        <x:v>638.0668591283362</x:v>
      </x:c>
      <x:c r="E1126" s="83" t="str">
        <x:f>IF(A1126=0,"GRID",IF(D1126&gt;=Control!$B$17,"FINISHED",IF(AND(A1126&gt;=INDEX(Drivers!$G$8:$G$13,B1126),A1126&lt;INDEX(Drivers!$G$8:$G$13,B1126)+INDEX(Drivers!$J$8:$J$13,B1126)),"PIT",IF(MOD(A1126+INDEX(Drivers!$F$8:$F$13,B1126),Control!$B$11)&lt;Control!$B$13,"BOOST","RACE"))))</x:f>
        <x:v>RACE</x:v>
      </x:c>
      <x:c r="F1126" s="83" t="n">
        <x:f>IF(OR(E1126="GRID",E1126="FINISHED",E1126="PIT"),0,MAX(Control!$B$15,(INDEX(Drivers!$D$8:$D$13,B1126)+INDEX(Drivers!$E$8:$E$13,B1126)*SIN((A1126+INDEX(Drivers!$F$8:$F$13,B1126)+Control!$B$16)*Control!$B$14))*INDEX(TrackMap!$M$8:$M$141,MOD(INT(D1126)-1,Control!$B$7)+1)*IF(E1126="BOOST",Control!$B$12,1)))</x:f>
        <x:v>2.653036329683573</x:v>
      </x:c>
      <x:c r="G1126" s="83" t="n">
        <x:f>IF(A1126=0,D1126,MIN(Control!$B$17,D1126+F1126))</x:f>
        <x:v>640.7198954580198</x:v>
      </x:c>
      <x:c r="H1126" s="73" t="n">
        <x:f>MOD(INT(G1126)-1,Control!$B$7)+1</x:f>
        <x:v>104</x:v>
      </x:c>
      <x:c r="I1126" s="73" t="n">
        <x:f>MIN(Control!$B$6,MAX(1,INT(MAX(0,G1126)/Control!$B$7)+1))</x:f>
        <x:v>5</x:v>
      </x:c>
      <x:c r="J1126" s="73" t="n">
        <x:f>INDEX(Drivers!$H$8:$H$13,B1126)</x:f>
        <x:v>1</x:v>
      </x:c>
      <x:c r="K1126" s="73" t="n">
        <x:f>IF(J1126=1,INDEX(TrackMap!$I$8:$I$141,H1126),INDEX(TrackMap!$L$8:$L$141,H1126))</x:f>
        <x:v>3147</x:v>
      </x:c>
      <x:c r="L1126" s="73" t="str">
        <x:f>INDEX(TrackMap!$F$8:$F$141,H1126)</x:f>
        <x:v>←</x:v>
      </x:c>
      <x:c r="M1126" s="87" t="n">
        <x:f>MAX(0,G1126/Control!$B$17)</x:f>
        <x:v>0.9562983514298803</x:v>
      </x:c>
      <x:c r="N1126" s="73" t="n">
        <x:f>IF(N1120&gt;0,N1120,IF(G1126&gt;=Control!$B$17,A1126,0))</x:f>
        <x:v>0</x:v>
      </x:c>
      <x:c r="O1126" s="91" t="n">
        <x:f>IF(N1126&gt;0,Control!$B$17+Control!$B$8+1-N1126,G1126)-B1126/100000</x:f>
        <x:v>640.7198654580197</x:v>
      </x:c>
      <x:c r="P1126" s="73" t="n">
        <x:f>COUNTIF($O$1124:$O$1129,"&gt;"&amp;O1126)+1</x:f>
        <x:v>2</x:v>
      </x:c>
      <x:c r="Q1126" s="83" t="n">
        <x:f>MAX($G$1124:$G$1129)-G1126</x:f>
        <x:v>0.936347756272994</x:v>
      </x:c>
      <x:c r="R1126" s="73" t="str">
        <x:f>INDEX(TrackMap!$B$8:$B$141,H1126)</x:f>
        <x:v>发车大直道</x:v>
      </x:c>
    </x:row>
    <x:row r="1127" ht="20" customHeight="1">
      <x:c r="A1127" s="73" t="n">
        <x:v>186</x:v>
      </x:c>
      <x:c r="B1127" s="73" t="n">
        <x:v>4</x:v>
      </x:c>
      <x:c r="C1127" s="73" t="str">
        <x:f>INDEX(Drivers!$B$8:$B$13,B1127)</x:f>
        <x:v>紫影</x:v>
      </x:c>
      <x:c r="D1127" s="83" t="n">
        <x:f>G1121</x:f>
        <x:v>618.8312561009795</x:v>
      </x:c>
      <x:c r="E1127" s="83" t="str">
        <x:f>IF(A1127=0,"GRID",IF(D1127&gt;=Control!$B$17,"FINISHED",IF(AND(A1127&gt;=INDEX(Drivers!$G$8:$G$13,B1127),A1127&lt;INDEX(Drivers!$G$8:$G$13,B1127)+INDEX(Drivers!$J$8:$J$13,B1127)),"PIT",IF(MOD(A1127+INDEX(Drivers!$F$8:$F$13,B1127),Control!$B$11)&lt;Control!$B$13,"BOOST","RACE"))))</x:f>
        <x:v>RACE</x:v>
      </x:c>
      <x:c r="F1127" s="83" t="n">
        <x:f>IF(OR(E1127="GRID",E1127="FINISHED",E1127="PIT"),0,MAX(Control!$B$15,(INDEX(Drivers!$D$8:$D$13,B1127)+INDEX(Drivers!$E$8:$E$13,B1127)*SIN((A1127+INDEX(Drivers!$F$8:$F$13,B1127)+Control!$B$16)*Control!$B$14))*INDEX(TrackMap!$M$8:$M$141,MOD(INT(D1127)-1,Control!$B$7)+1)*IF(E1127="BOOST",Control!$B$12,1)))</x:f>
        <x:v>2.848026166764897</x:v>
      </x:c>
      <x:c r="G1127" s="83" t="n">
        <x:f>IF(A1127=0,D1127,MIN(Control!$B$17,D1127+F1127))</x:f>
        <x:v>621.6792822677445</x:v>
      </x:c>
      <x:c r="H1127" s="73" t="n">
        <x:f>MOD(INT(G1127)-1,Control!$B$7)+1</x:f>
        <x:v>85</x:v>
      </x:c>
      <x:c r="I1127" s="73" t="n">
        <x:f>MIN(Control!$B$6,MAX(1,INT(MAX(0,G1127)/Control!$B$7)+1))</x:f>
        <x:v>5</x:v>
      </x:c>
      <x:c r="J1127" s="73" t="n">
        <x:f>INDEX(Drivers!$H$8:$H$13,B1127)</x:f>
        <x:v>2</x:v>
      </x:c>
      <x:c r="K1127" s="73" t="n">
        <x:f>IF(J1127=1,INDEX(TrackMap!$I$8:$I$141,H1127),INDEX(TrackMap!$L$8:$L$141,H1127))</x:f>
        <x:v>1451</x:v>
      </x:c>
      <x:c r="L1127" s="73" t="str">
        <x:f>INDEX(TrackMap!$F$8:$F$141,H1127)</x:f>
        <x:v>↓</x:v>
      </x:c>
      <x:c r="M1127" s="87" t="n">
        <x:f>MAX(0,G1127/Control!$B$17)</x:f>
        <x:v>0.927879525772753</x:v>
      </x:c>
      <x:c r="N1127" s="73" t="n">
        <x:f>IF(N1121&gt;0,N1121,IF(G1127&gt;=Control!$B$17,A1127,0))</x:f>
        <x:v>0</x:v>
      </x:c>
      <x:c r="O1127" s="91" t="n">
        <x:f>IF(N1127&gt;0,Control!$B$17+Control!$B$8+1-N1127,G1127)-B1127/100000</x:f>
        <x:v>621.6792422677445</x:v>
      </x:c>
      <x:c r="P1127" s="73" t="n">
        <x:f>COUNTIF($O$1124:$O$1129,"&gt;"&amp;O1127)+1</x:f>
        <x:v>5</x:v>
      </x:c>
      <x:c r="Q1127" s="83" t="n">
        <x:f>MAX($G$1124:$G$1129)-G1127</x:f>
        <x:v>19.976960946548274</x:v>
      </x:c>
      <x:c r="R1127" s="73" t="str">
        <x:f>INDEX(TrackMap!$B$8:$B$141,H1127)</x:f>
        <x:v>东侧长直道</x:v>
      </x:c>
    </x:row>
    <x:row r="1128" ht="20" customHeight="1">
      <x:c r="A1128" s="73" t="n">
        <x:v>186</x:v>
      </x:c>
      <x:c r="B1128" s="73" t="n">
        <x:v>5</x:v>
      </x:c>
      <x:c r="C1128" s="73" t="str">
        <x:f>INDEX(Drivers!$B$8:$B$13,B1128)</x:f>
        <x:v>青锋</x:v>
      </x:c>
      <x:c r="D1128" s="83" t="n">
        <x:f>G1122</x:f>
        <x:v>631.839345894625</x:v>
      </x:c>
      <x:c r="E1128" s="83" t="str">
        <x:f>IF(A1128=0,"GRID",IF(D1128&gt;=Control!$B$17,"FINISHED",IF(AND(A1128&gt;=INDEX(Drivers!$G$8:$G$13,B1128),A1128&lt;INDEX(Drivers!$G$8:$G$13,B1128)+INDEX(Drivers!$J$8:$J$13,B1128)),"PIT",IF(MOD(A1128+INDEX(Drivers!$F$8:$F$13,B1128),Control!$B$11)&lt;Control!$B$13,"BOOST","RACE"))))</x:f>
        <x:v>RACE</x:v>
      </x:c>
      <x:c r="F1128" s="83" t="n">
        <x:f>IF(OR(E1128="GRID",E1128="FINISHED",E1128="PIT"),0,MAX(Control!$B$15,(INDEX(Drivers!$D$8:$D$13,B1128)+INDEX(Drivers!$E$8:$E$13,B1128)*SIN((A1128+INDEX(Drivers!$F$8:$F$13,B1128)+Control!$B$16)*Control!$B$14))*INDEX(TrackMap!$M$8:$M$141,MOD(INT(D1128)-1,Control!$B$7)+1)*IF(E1128="BOOST",Control!$B$12,1)))</x:f>
        <x:v>3.6724763038089527</x:v>
      </x:c>
      <x:c r="G1128" s="83" t="n">
        <x:f>IF(A1128=0,D1128,MIN(Control!$B$17,D1128+F1128))</x:f>
        <x:v>635.511822198434</x:v>
      </x:c>
      <x:c r="H1128" s="73" t="n">
        <x:f>MOD(INT(G1128)-1,Control!$B$7)+1</x:f>
        <x:v>99</x:v>
      </x:c>
      <x:c r="I1128" s="73" t="n">
        <x:f>MIN(Control!$B$6,MAX(1,INT(MAX(0,G1128)/Control!$B$7)+1))</x:f>
        <x:v>5</x:v>
      </x:c>
      <x:c r="J1128" s="73" t="n">
        <x:f>INDEX(Drivers!$H$8:$H$13,B1128)</x:f>
        <x:v>1</x:v>
      </x:c>
      <x:c r="K1128" s="73" t="n">
        <x:f>IF(J1128=1,INDEX(TrackMap!$I$8:$I$141,H1128),INDEX(TrackMap!$L$8:$L$141,H1128))</x:f>
        <x:v>2852</x:v>
      </x:c>
      <x:c r="L1128" s="73" t="str">
        <x:f>INDEX(TrackMap!$F$8:$F$141,H1128)</x:f>
        <x:v>↓</x:v>
      </x:c>
      <x:c r="M1128" s="87" t="n">
        <x:f>MAX(0,G1128/Control!$B$17)</x:f>
        <x:v>0.9485251077588567</x:v>
      </x:c>
      <x:c r="N1128" s="73" t="n">
        <x:f>IF(N1122&gt;0,N1122,IF(G1128&gt;=Control!$B$17,A1128,0))</x:f>
        <x:v>0</x:v>
      </x:c>
      <x:c r="O1128" s="91" t="n">
        <x:f>IF(N1128&gt;0,Control!$B$17+Control!$B$8+1-N1128,G1128)-B1128/100000</x:f>
        <x:v>635.511772198434</x:v>
      </x:c>
      <x:c r="P1128" s="73" t="n">
        <x:f>COUNTIF($O$1124:$O$1129,"&gt;"&amp;O1128)+1</x:f>
        <x:v>4</x:v>
      </x:c>
      <x:c r="Q1128" s="83" t="n">
        <x:f>MAX($G$1124:$G$1129)-G1128</x:f>
        <x:v>6.144421015858825</x:v>
      </x:c>
      <x:c r="R1128" s="73" t="str">
        <x:f>INDEX(TrackMap!$B$8:$B$141,H1128)</x:f>
        <x:v>东侧长直道</x:v>
      </x:c>
    </x:row>
    <x:row r="1129" ht="20" customHeight="1">
      <x:c r="A1129" s="73" t="n">
        <x:v>186</x:v>
      </x:c>
      <x:c r="B1129" s="73" t="n">
        <x:v>6</x:v>
      </x:c>
      <x:c r="C1129" s="73" t="str">
        <x:f>INDEX(Drivers!$B$8:$B$13,B1129)</x:f>
        <x:v>玫速</x:v>
      </x:c>
      <x:c r="D1129" s="83" t="n">
        <x:f>G1123</x:f>
        <x:v>633.6880790182003</x:v>
      </x:c>
      <x:c r="E1129" s="83" t="str">
        <x:f>IF(A1129=0,"GRID",IF(D1129&gt;=Control!$B$17,"FINISHED",IF(AND(A1129&gt;=INDEX(Drivers!$G$8:$G$13,B1129),A1129&lt;INDEX(Drivers!$G$8:$G$13,B1129)+INDEX(Drivers!$J$8:$J$13,B1129)),"PIT",IF(MOD(A1129+INDEX(Drivers!$F$8:$F$13,B1129),Control!$B$11)&lt;Control!$B$13,"BOOST","RACE"))))</x:f>
        <x:v>RACE</x:v>
      </x:c>
      <x:c r="F1129" s="83" t="n">
        <x:f>IF(OR(E1129="GRID",E1129="FINISHED",E1129="PIT"),0,MAX(Control!$B$15,(INDEX(Drivers!$D$8:$D$13,B1129)+INDEX(Drivers!$E$8:$E$13,B1129)*SIN((A1129+INDEX(Drivers!$F$8:$F$13,B1129)+Control!$B$16)*Control!$B$14))*INDEX(TrackMap!$M$8:$M$141,MOD(INT(D1129)-1,Control!$B$7)+1)*IF(E1129="BOOST",Control!$B$12,1)))</x:f>
        <x:v>3.9516335192495067</x:v>
      </x:c>
      <x:c r="G1129" s="83" t="n">
        <x:f>IF(A1129=0,D1129,MIN(Control!$B$17,D1129+F1129))</x:f>
        <x:v>637.6397125374498</x:v>
      </x:c>
      <x:c r="H1129" s="73" t="n">
        <x:f>MOD(INT(G1129)-1,Control!$B$7)+1</x:f>
        <x:v>101</x:v>
      </x:c>
      <x:c r="I1129" s="73" t="n">
        <x:f>MIN(Control!$B$6,MAX(1,INT(MAX(0,G1129)/Control!$B$7)+1))</x:f>
        <x:v>5</x:v>
      </x:c>
      <x:c r="J1129" s="73" t="n">
        <x:f>INDEX(Drivers!$H$8:$H$13,B1129)</x:f>
        <x:v>2</x:v>
      </x:c>
      <x:c r="K1129" s="73" t="n">
        <x:f>IF(J1129=1,INDEX(TrackMap!$I$8:$I$141,H1129),INDEX(TrackMap!$L$8:$L$141,H1129))</x:f>
        <x:v>3050</x:v>
      </x:c>
      <x:c r="L1129" s="73" t="str">
        <x:f>INDEX(TrackMap!$F$8:$F$141,H1129)</x:f>
        <x:v>←</x:v>
      </x:c>
      <x:c r="M1129" s="87" t="n">
        <x:f>MAX(0,G1129/Control!$B$17)</x:f>
        <x:v>0.9517010634887311</x:v>
      </x:c>
      <x:c r="N1129" s="73" t="n">
        <x:f>IF(N1123&gt;0,N1123,IF(G1129&gt;=Control!$B$17,A1129,0))</x:f>
        <x:v>0</x:v>
      </x:c>
      <x:c r="O1129" s="91" t="n">
        <x:f>IF(N1129&gt;0,Control!$B$17+Control!$B$8+1-N1129,G1129)-B1129/100000</x:f>
        <x:v>637.6396525374498</x:v>
      </x:c>
      <x:c r="P1129" s="73" t="n">
        <x:f>COUNTIF($O$1124:$O$1129,"&gt;"&amp;O1129)+1</x:f>
        <x:v>3</x:v>
      </x:c>
      <x:c r="Q1129" s="83" t="n">
        <x:f>MAX($G$1124:$G$1129)-G1129</x:f>
        <x:v>4.01653067684299</x:v>
      </x:c>
      <x:c r="R1129" s="73" t="str">
        <x:f>INDEX(TrackMap!$B$8:$B$141,H1129)</x:f>
        <x:v>发车大直道</x:v>
      </x:c>
    </x:row>
    <x:row r="1130" ht="20" customHeight="1">
      <x:c r="A1130" s="73" t="n">
        <x:v>187</x:v>
      </x:c>
      <x:c r="B1130" s="73" t="n">
        <x:v>1</x:v>
      </x:c>
      <x:c r="C1130" s="73" t="str">
        <x:f>INDEX(Drivers!$B$8:$B$13,B1130)</x:f>
        <x:v>赤焰</x:v>
      </x:c>
      <x:c r="D1130" s="83" t="n">
        <x:f>G1124</x:f>
        <x:v>641.6562432142928</x:v>
      </x:c>
      <x:c r="E1130" s="83" t="str">
        <x:f>IF(A1130=0,"GRID",IF(D1130&gt;=Control!$B$17,"FINISHED",IF(AND(A1130&gt;=INDEX(Drivers!$G$8:$G$13,B1130),A1130&lt;INDEX(Drivers!$G$8:$G$13,B1130)+INDEX(Drivers!$J$8:$J$13,B1130)),"PIT",IF(MOD(A1130+INDEX(Drivers!$F$8:$F$13,B1130),Control!$B$11)&lt;Control!$B$13,"BOOST","RACE"))))</x:f>
        <x:v>BOOST</x:v>
      </x:c>
      <x:c r="F1130" s="83" t="n">
        <x:f>IF(OR(E1130="GRID",E1130="FINISHED",E1130="PIT"),0,MAX(Control!$B$15,(INDEX(Drivers!$D$8:$D$13,B1130)+INDEX(Drivers!$E$8:$E$13,B1130)*SIN((A1130+INDEX(Drivers!$F$8:$F$13,B1130)+Control!$B$16)*Control!$B$14))*INDEX(TrackMap!$M$8:$M$141,MOD(INT(D1130)-1,Control!$B$7)+1)*IF(E1130="BOOST",Control!$B$12,1)))</x:f>
        <x:v>4.2916355056943125</x:v>
      </x:c>
      <x:c r="G1130" s="83" t="n">
        <x:f>IF(A1130=0,D1130,MIN(Control!$B$17,D1130+F1130))</x:f>
        <x:v>645.9478787199871</x:v>
      </x:c>
      <x:c r="H1130" s="73" t="n">
        <x:f>MOD(INT(G1130)-1,Control!$B$7)+1</x:f>
        <x:v>109</x:v>
      </x:c>
      <x:c r="I1130" s="73" t="n">
        <x:f>MIN(Control!$B$6,MAX(1,INT(MAX(0,G1130)/Control!$B$7)+1))</x:f>
        <x:v>5</x:v>
      </x:c>
      <x:c r="J1130" s="73" t="n">
        <x:f>INDEX(Drivers!$H$8:$H$13,B1130)</x:f>
        <x:v>1</x:v>
      </x:c>
      <x:c r="K1130" s="73" t="n">
        <x:f>IF(J1130=1,INDEX(TrackMap!$I$8:$I$141,H1130),INDEX(TrackMap!$L$8:$L$141,H1130))</x:f>
        <x:v>3142</x:v>
      </x:c>
      <x:c r="L1130" s="73" t="str">
        <x:f>INDEX(TrackMap!$F$8:$F$141,H1130)</x:f>
        <x:v>←</x:v>
      </x:c>
      <x:c r="M1130" s="87" t="n">
        <x:f>MAX(0,G1130/Control!$B$17)</x:f>
        <x:v>0.9641013115223688</x:v>
      </x:c>
      <x:c r="N1130" s="73" t="n">
        <x:f>IF(N1124&gt;0,N1124,IF(G1130&gt;=Control!$B$17,A1130,0))</x:f>
        <x:v>0</x:v>
      </x:c>
      <x:c r="O1130" s="91" t="n">
        <x:f>IF(N1130&gt;0,Control!$B$17+Control!$B$8+1-N1130,G1130)-B1130/100000</x:f>
        <x:v>645.9478687199871</x:v>
      </x:c>
      <x:c r="P1130" s="73" t="n">
        <x:f>COUNTIF($O$1130:$O$1135,"&gt;"&amp;O1130)+1</x:f>
        <x:v>1</x:v>
      </x:c>
      <x:c r="Q1130" s="83" t="n">
        <x:f>MAX($G$1130:$G$1135)-G1130</x:f>
        <x:v>0</x:v>
      </x:c>
      <x:c r="R1130" s="73" t="str">
        <x:f>INDEX(TrackMap!$B$8:$B$141,H1130)</x:f>
        <x:v>发车大直道</x:v>
      </x:c>
    </x:row>
    <x:row r="1131" ht="20" customHeight="1">
      <x:c r="A1131" s="73" t="n">
        <x:v>187</x:v>
      </x:c>
      <x:c r="B1131" s="73" t="n">
        <x:v>2</x:v>
      </x:c>
      <x:c r="C1131" s="73" t="str">
        <x:f>INDEX(Drivers!$B$8:$B$13,B1131)</x:f>
        <x:v>蓝电</x:v>
      </x:c>
      <x:c r="D1131" s="83" t="n">
        <x:f>G1125</x:f>
        <x:v>620.4500858773698</x:v>
      </x:c>
      <x:c r="E1131" s="83" t="str">
        <x:f>IF(A1131=0,"GRID",IF(D1131&gt;=Control!$B$17,"FINISHED",IF(AND(A1131&gt;=INDEX(Drivers!$G$8:$G$13,B1131),A1131&lt;INDEX(Drivers!$G$8:$G$13,B1131)+INDEX(Drivers!$J$8:$J$13,B1131)),"PIT",IF(MOD(A1131+INDEX(Drivers!$F$8:$F$13,B1131),Control!$B$11)&lt;Control!$B$13,"BOOST","RACE"))))</x:f>
        <x:v>RACE</x:v>
      </x:c>
      <x:c r="F1131" s="83" t="n">
        <x:f>IF(OR(E1131="GRID",E1131="FINISHED",E1131="PIT"),0,MAX(Control!$B$15,(INDEX(Drivers!$D$8:$D$13,B1131)+INDEX(Drivers!$E$8:$E$13,B1131)*SIN((A1131+INDEX(Drivers!$F$8:$F$13,B1131)+Control!$B$16)*Control!$B$14))*INDEX(TrackMap!$M$8:$M$141,MOD(INT(D1131)-1,Control!$B$7)+1)*IF(E1131="BOOST",Control!$B$12,1)))</x:f>
        <x:v>4.179975591975404</x:v>
      </x:c>
      <x:c r="G1131" s="83" t="n">
        <x:f>IF(A1131=0,D1131,MIN(Control!$B$17,D1131+F1131))</x:f>
        <x:v>624.6300614693453</x:v>
      </x:c>
      <x:c r="H1131" s="73" t="n">
        <x:f>MOD(INT(G1131)-1,Control!$B$7)+1</x:f>
        <x:v>88</x:v>
      </x:c>
      <x:c r="I1131" s="73" t="n">
        <x:f>MIN(Control!$B$6,MAX(1,INT(MAX(0,G1131)/Control!$B$7)+1))</x:f>
        <x:v>5</x:v>
      </x:c>
      <x:c r="J1131" s="73" t="n">
        <x:f>INDEX(Drivers!$H$8:$H$13,B1131)</x:f>
        <x:v>2</x:v>
      </x:c>
      <x:c r="K1131" s="73" t="n">
        <x:f>IF(J1131=1,INDEX(TrackMap!$I$8:$I$141,H1131),INDEX(TrackMap!$L$8:$L$141,H1131))</x:f>
        <x:v>1751</x:v>
      </x:c>
      <x:c r="L1131" s="73" t="str">
        <x:f>INDEX(TrackMap!$F$8:$F$141,H1131)</x:f>
        <x:v>↓</x:v>
      </x:c>
      <x:c r="M1131" s="87" t="n">
        <x:f>MAX(0,G1131/Control!$B$17)</x:f>
        <x:v>0.9322836738348437</x:v>
      </x:c>
      <x:c r="N1131" s="73" t="n">
        <x:f>IF(N1125&gt;0,N1125,IF(G1131&gt;=Control!$B$17,A1131,0))</x:f>
        <x:v>0</x:v>
      </x:c>
      <x:c r="O1131" s="91" t="n">
        <x:f>IF(N1131&gt;0,Control!$B$17+Control!$B$8+1-N1131,G1131)-B1131/100000</x:f>
        <x:v>624.6300414693453</x:v>
      </x:c>
      <x:c r="P1131" s="73" t="n">
        <x:f>COUNTIF($O$1130:$O$1135,"&gt;"&amp;O1131)+1</x:f>
        <x:v>6</x:v>
      </x:c>
      <x:c r="Q1131" s="83" t="n">
        <x:f>MAX($G$1130:$G$1135)-G1131</x:f>
        <x:v>21.317817250641838</x:v>
      </x:c>
      <x:c r="R1131" s="73" t="str">
        <x:f>INDEX(TrackMap!$B$8:$B$141,H1131)</x:f>
        <x:v>东侧长直道</x:v>
      </x:c>
    </x:row>
    <x:row r="1132" ht="20" customHeight="1">
      <x:c r="A1132" s="73" t="n">
        <x:v>187</x:v>
      </x:c>
      <x:c r="B1132" s="73" t="n">
        <x:v>3</x:v>
      </x:c>
      <x:c r="C1132" s="73" t="str">
        <x:f>INDEX(Drivers!$B$8:$B$13,B1132)</x:f>
        <x:v>金翼</x:v>
      </x:c>
      <x:c r="D1132" s="83" t="n">
        <x:f>G1126</x:f>
        <x:v>640.7198954580198</x:v>
      </x:c>
      <x:c r="E1132" s="83" t="str">
        <x:f>IF(A1132=0,"GRID",IF(D1132&gt;=Control!$B$17,"FINISHED",IF(AND(A1132&gt;=INDEX(Drivers!$G$8:$G$13,B1132),A1132&lt;INDEX(Drivers!$G$8:$G$13,B1132)+INDEX(Drivers!$J$8:$J$13,B1132)),"PIT",IF(MOD(A1132+INDEX(Drivers!$F$8:$F$13,B1132),Control!$B$11)&lt;Control!$B$13,"BOOST","RACE"))))</x:f>
        <x:v>RACE</x:v>
      </x:c>
      <x:c r="F1132" s="83" t="n">
        <x:f>IF(OR(E1132="GRID",E1132="FINISHED",E1132="PIT"),0,MAX(Control!$B$15,(INDEX(Drivers!$D$8:$D$13,B1132)+INDEX(Drivers!$E$8:$E$13,B1132)*SIN((A1132+INDEX(Drivers!$F$8:$F$13,B1132)+Control!$B$16)*Control!$B$14))*INDEX(TrackMap!$M$8:$M$141,MOD(INT(D1132)-1,Control!$B$7)+1)*IF(E1132="BOOST",Control!$B$12,1)))</x:f>
        <x:v>3.2765352439945072</x:v>
      </x:c>
      <x:c r="G1132" s="83" t="n">
        <x:f>IF(A1132=0,D1132,MIN(Control!$B$17,D1132+F1132))</x:f>
        <x:v>643.9964307020143</x:v>
      </x:c>
      <x:c r="H1132" s="73" t="n">
        <x:f>MOD(INT(G1132)-1,Control!$B$7)+1</x:f>
        <x:v>107</x:v>
      </x:c>
      <x:c r="I1132" s="73" t="n">
        <x:f>MIN(Control!$B$6,MAX(1,INT(MAX(0,G1132)/Control!$B$7)+1))</x:f>
        <x:v>5</x:v>
      </x:c>
      <x:c r="J1132" s="73" t="n">
        <x:f>INDEX(Drivers!$H$8:$H$13,B1132)</x:f>
        <x:v>1</x:v>
      </x:c>
      <x:c r="K1132" s="73" t="n">
        <x:f>IF(J1132=1,INDEX(TrackMap!$I$8:$I$141,H1132),INDEX(TrackMap!$L$8:$L$141,H1132))</x:f>
        <x:v>3144</x:v>
      </x:c>
      <x:c r="L1132" s="73" t="str">
        <x:f>INDEX(TrackMap!$F$8:$F$141,H1132)</x:f>
        <x:v>←</x:v>
      </x:c>
      <x:c r="M1132" s="87" t="n">
        <x:f>MAX(0,G1132/Control!$B$17)</x:f>
        <x:v>0.9611887025403199</x:v>
      </x:c>
      <x:c r="N1132" s="73" t="n">
        <x:f>IF(N1126&gt;0,N1126,IF(G1132&gt;=Control!$B$17,A1132,0))</x:f>
        <x:v>0</x:v>
      </x:c>
      <x:c r="O1132" s="91" t="n">
        <x:f>IF(N1132&gt;0,Control!$B$17+Control!$B$8+1-N1132,G1132)-B1132/100000</x:f>
        <x:v>643.9964007020143</x:v>
      </x:c>
      <x:c r="P1132" s="73" t="n">
        <x:f>COUNTIF($O$1130:$O$1135,"&gt;"&amp;O1132)+1</x:f>
        <x:v>2</x:v>
      </x:c>
      <x:c r="Q1132" s="83" t="n">
        <x:f>MAX($G$1130:$G$1135)-G1132</x:f>
        <x:v>1.9514480179727798</x:v>
      </x:c>
      <x:c r="R1132" s="73" t="str">
        <x:f>INDEX(TrackMap!$B$8:$B$141,H1132)</x:f>
        <x:v>发车大直道</x:v>
      </x:c>
    </x:row>
    <x:row r="1133" ht="20" customHeight="1">
      <x:c r="A1133" s="73" t="n">
        <x:v>187</x:v>
      </x:c>
      <x:c r="B1133" s="73" t="n">
        <x:v>4</x:v>
      </x:c>
      <x:c r="C1133" s="73" t="str">
        <x:f>INDEX(Drivers!$B$8:$B$13,B1133)</x:f>
        <x:v>紫影</x:v>
      </x:c>
      <x:c r="D1133" s="83" t="n">
        <x:f>G1127</x:f>
        <x:v>621.6792822677445</x:v>
      </x:c>
      <x:c r="E1133" s="83" t="str">
        <x:f>IF(A1133=0,"GRID",IF(D1133&gt;=Control!$B$17,"FINISHED",IF(AND(A1133&gt;=INDEX(Drivers!$G$8:$G$13,B1133),A1133&lt;INDEX(Drivers!$G$8:$G$13,B1133)+INDEX(Drivers!$J$8:$J$13,B1133)),"PIT",IF(MOD(A1133+INDEX(Drivers!$F$8:$F$13,B1133),Control!$B$11)&lt;Control!$B$13,"BOOST","RACE"))))</x:f>
        <x:v>RACE</x:v>
      </x:c>
      <x:c r="F1133" s="83" t="n">
        <x:f>IF(OR(E1133="GRID",E1133="FINISHED",E1133="PIT"),0,MAX(Control!$B$15,(INDEX(Drivers!$D$8:$D$13,B1133)+INDEX(Drivers!$E$8:$E$13,B1133)*SIN((A1133+INDEX(Drivers!$F$8:$F$13,B1133)+Control!$B$16)*Control!$B$14))*INDEX(TrackMap!$M$8:$M$141,MOD(INT(D1133)-1,Control!$B$7)+1)*IF(E1133="BOOST",Control!$B$12,1)))</x:f>
        <x:v>3.856757378131886</x:v>
      </x:c>
      <x:c r="G1133" s="83" t="n">
        <x:f>IF(A1133=0,D1133,MIN(Control!$B$17,D1133+F1133))</x:f>
        <x:v>625.5360396458764</x:v>
      </x:c>
      <x:c r="H1133" s="73" t="n">
        <x:f>MOD(INT(G1133)-1,Control!$B$7)+1</x:f>
        <x:v>89</x:v>
      </x:c>
      <x:c r="I1133" s="73" t="n">
        <x:f>MIN(Control!$B$6,MAX(1,INT(MAX(0,G1133)/Control!$B$7)+1))</x:f>
        <x:v>5</x:v>
      </x:c>
      <x:c r="J1133" s="73" t="n">
        <x:f>INDEX(Drivers!$H$8:$H$13,B1133)</x:f>
        <x:v>2</x:v>
      </x:c>
      <x:c r="K1133" s="73" t="n">
        <x:f>IF(J1133=1,INDEX(TrackMap!$I$8:$I$141,H1133),INDEX(TrackMap!$L$8:$L$141,H1133))</x:f>
        <x:v>1851</x:v>
      </x:c>
      <x:c r="L1133" s="73" t="str">
        <x:f>INDEX(TrackMap!$F$8:$F$141,H1133)</x:f>
        <x:v>↓</x:v>
      </x:c>
      <x:c r="M1133" s="87" t="n">
        <x:f>MAX(0,G1133/Control!$B$17)</x:f>
        <x:v>0.9336358800684722</x:v>
      </x:c>
      <x:c r="N1133" s="73" t="n">
        <x:f>IF(N1127&gt;0,N1127,IF(G1133&gt;=Control!$B$17,A1133,0))</x:f>
        <x:v>0</x:v>
      </x:c>
      <x:c r="O1133" s="91" t="n">
        <x:f>IF(N1133&gt;0,Control!$B$17+Control!$B$8+1-N1133,G1133)-B1133/100000</x:f>
        <x:v>625.5359996458764</x:v>
      </x:c>
      <x:c r="P1133" s="73" t="n">
        <x:f>COUNTIF($O$1130:$O$1135,"&gt;"&amp;O1133)+1</x:f>
        <x:v>5</x:v>
      </x:c>
      <x:c r="Q1133" s="83" t="n">
        <x:f>MAX($G$1130:$G$1135)-G1133</x:f>
        <x:v>20.41183907411073</x:v>
      </x:c>
      <x:c r="R1133" s="73" t="str">
        <x:f>INDEX(TrackMap!$B$8:$B$141,H1133)</x:f>
        <x:v>东侧长直道</x:v>
      </x:c>
    </x:row>
    <x:row r="1134" ht="20" customHeight="1">
      <x:c r="A1134" s="73" t="n">
        <x:v>187</x:v>
      </x:c>
      <x:c r="B1134" s="73" t="n">
        <x:v>5</x:v>
      </x:c>
      <x:c r="C1134" s="73" t="str">
        <x:f>INDEX(Drivers!$B$8:$B$13,B1134)</x:f>
        <x:v>青锋</x:v>
      </x:c>
      <x:c r="D1134" s="83" t="n">
        <x:f>G1128</x:f>
        <x:v>635.511822198434</x:v>
      </x:c>
      <x:c r="E1134" s="83" t="str">
        <x:f>IF(A1134=0,"GRID",IF(D1134&gt;=Control!$B$17,"FINISHED",IF(AND(A1134&gt;=INDEX(Drivers!$G$8:$G$13,B1134),A1134&lt;INDEX(Drivers!$G$8:$G$13,B1134)+INDEX(Drivers!$J$8:$J$13,B1134)),"PIT",IF(MOD(A1134+INDEX(Drivers!$F$8:$F$13,B1134),Control!$B$11)&lt;Control!$B$13,"BOOST","RACE"))))</x:f>
        <x:v>RACE</x:v>
      </x:c>
      <x:c r="F1134" s="83" t="n">
        <x:f>IF(OR(E1134="GRID",E1134="FINISHED",E1134="PIT"),0,MAX(Control!$B$15,(INDEX(Drivers!$D$8:$D$13,B1134)+INDEX(Drivers!$E$8:$E$13,B1134)*SIN((A1134+INDEX(Drivers!$F$8:$F$13,B1134)+Control!$B$16)*Control!$B$14))*INDEX(TrackMap!$M$8:$M$141,MOD(INT(D1134)-1,Control!$B$7)+1)*IF(E1134="BOOST",Control!$B$12,1)))</x:f>
        <x:v>3.857013448325791</x:v>
      </x:c>
      <x:c r="G1134" s="83" t="n">
        <x:f>IF(A1134=0,D1134,MIN(Control!$B$17,D1134+F1134))</x:f>
        <x:v>639.3688356467597</x:v>
      </x:c>
      <x:c r="H1134" s="73" t="n">
        <x:f>MOD(INT(G1134)-1,Control!$B$7)+1</x:f>
        <x:v>103</x:v>
      </x:c>
      <x:c r="I1134" s="73" t="n">
        <x:f>MIN(Control!$B$6,MAX(1,INT(MAX(0,G1134)/Control!$B$7)+1))</x:f>
        <x:v>5</x:v>
      </x:c>
      <x:c r="J1134" s="73" t="n">
        <x:f>INDEX(Drivers!$H$8:$H$13,B1134)</x:f>
        <x:v>1</x:v>
      </x:c>
      <x:c r="K1134" s="73" t="n">
        <x:f>IF(J1134=1,INDEX(TrackMap!$I$8:$I$141,H1134),INDEX(TrackMap!$L$8:$L$141,H1134))</x:f>
        <x:v>3148</x:v>
      </x:c>
      <x:c r="L1134" s="73" t="str">
        <x:f>INDEX(TrackMap!$F$8:$F$141,H1134)</x:f>
        <x:v>←</x:v>
      </x:c>
      <x:c r="M1134" s="87" t="n">
        <x:f>MAX(0,G1134/Control!$B$17)</x:f>
        <x:v>0.9542818442488952</x:v>
      </x:c>
      <x:c r="N1134" s="73" t="n">
        <x:f>IF(N1128&gt;0,N1128,IF(G1134&gt;=Control!$B$17,A1134,0))</x:f>
        <x:v>0</x:v>
      </x:c>
      <x:c r="O1134" s="91" t="n">
        <x:f>IF(N1134&gt;0,Control!$B$17+Control!$B$8+1-N1134,G1134)-B1134/100000</x:f>
        <x:v>639.3687856467598</x:v>
      </x:c>
      <x:c r="P1134" s="73" t="n">
        <x:f>COUNTIF($O$1130:$O$1135,"&gt;"&amp;O1134)+1</x:f>
        <x:v>4</x:v>
      </x:c>
      <x:c r="Q1134" s="83" t="n">
        <x:f>MAX($G$1130:$G$1135)-G1134</x:f>
        <x:v>6.5790430732273535</x:v>
      </x:c>
      <x:c r="R1134" s="73" t="str">
        <x:f>INDEX(TrackMap!$B$8:$B$141,H1134)</x:f>
        <x:v>发车大直道</x:v>
      </x:c>
    </x:row>
    <x:row r="1135" ht="20" customHeight="1">
      <x:c r="A1135" s="73" t="n">
        <x:v>187</x:v>
      </x:c>
      <x:c r="B1135" s="73" t="n">
        <x:v>6</x:v>
      </x:c>
      <x:c r="C1135" s="73" t="str">
        <x:f>INDEX(Drivers!$B$8:$B$13,B1135)</x:f>
        <x:v>玫速</x:v>
      </x:c>
      <x:c r="D1135" s="83" t="n">
        <x:f>G1129</x:f>
        <x:v>637.6397125374498</x:v>
      </x:c>
      <x:c r="E1135" s="83" t="str">
        <x:f>IF(A1135=0,"GRID",IF(D1135&gt;=Control!$B$17,"FINISHED",IF(AND(A1135&gt;=INDEX(Drivers!$G$8:$G$13,B1135),A1135&lt;INDEX(Drivers!$G$8:$G$13,B1135)+INDEX(Drivers!$J$8:$J$13,B1135)),"PIT",IF(MOD(A1135+INDEX(Drivers!$F$8:$F$13,B1135),Control!$B$11)&lt;Control!$B$13,"BOOST","RACE"))))</x:f>
        <x:v>RACE</x:v>
      </x:c>
      <x:c r="F1135" s="83" t="n">
        <x:f>IF(OR(E1135="GRID",E1135="FINISHED",E1135="PIT"),0,MAX(Control!$B$15,(INDEX(Drivers!$D$8:$D$13,B1135)+INDEX(Drivers!$E$8:$E$13,B1135)*SIN((A1135+INDEX(Drivers!$F$8:$F$13,B1135)+Control!$B$16)*Control!$B$14))*INDEX(TrackMap!$M$8:$M$141,MOD(INT(D1135)-1,Control!$B$7)+1)*IF(E1135="BOOST",Control!$B$12,1)))</x:f>
        <x:v>2.917036514610765</x:v>
      </x:c>
      <x:c r="G1135" s="83" t="n">
        <x:f>IF(A1135=0,D1135,MIN(Control!$B$17,D1135+F1135))</x:f>
        <x:v>640.5567490520606</x:v>
      </x:c>
      <x:c r="H1135" s="73" t="n">
        <x:f>MOD(INT(G1135)-1,Control!$B$7)+1</x:f>
        <x:v>104</x:v>
      </x:c>
      <x:c r="I1135" s="73" t="n">
        <x:f>MIN(Control!$B$6,MAX(1,INT(MAX(0,G1135)/Control!$B$7)+1))</x:f>
        <x:v>5</x:v>
      </x:c>
      <x:c r="J1135" s="73" t="n">
        <x:f>INDEX(Drivers!$H$8:$H$13,B1135)</x:f>
        <x:v>2</x:v>
      </x:c>
      <x:c r="K1135" s="73" t="n">
        <x:f>IF(J1135=1,INDEX(TrackMap!$I$8:$I$141,H1135),INDEX(TrackMap!$L$8:$L$141,H1135))</x:f>
        <x:v>3047</x:v>
      </x:c>
      <x:c r="L1135" s="73" t="str">
        <x:f>INDEX(TrackMap!$F$8:$F$141,H1135)</x:f>
        <x:v>←</x:v>
      </x:c>
      <x:c r="M1135" s="87" t="n">
        <x:f>MAX(0,G1135/Control!$B$17)</x:f>
        <x:v>0.9560548493314337</x:v>
      </x:c>
      <x:c r="N1135" s="73" t="n">
        <x:f>IF(N1129&gt;0,N1129,IF(G1135&gt;=Control!$B$17,A1135,0))</x:f>
        <x:v>0</x:v>
      </x:c>
      <x:c r="O1135" s="91" t="n">
        <x:f>IF(N1135&gt;0,Control!$B$17+Control!$B$8+1-N1135,G1135)-B1135/100000</x:f>
        <x:v>640.5566890520606</x:v>
      </x:c>
      <x:c r="P1135" s="73" t="n">
        <x:f>COUNTIF($O$1130:$O$1135,"&gt;"&amp;O1135)+1</x:f>
        <x:v>3</x:v>
      </x:c>
      <x:c r="Q1135" s="83" t="n">
        <x:f>MAX($G$1130:$G$1135)-G1135</x:f>
        <x:v>5.391129667926521</x:v>
      </x:c>
      <x:c r="R1135" s="73" t="str">
        <x:f>INDEX(TrackMap!$B$8:$B$141,H1135)</x:f>
        <x:v>发车大直道</x:v>
      </x:c>
    </x:row>
    <x:row r="1136" ht="20" customHeight="1">
      <x:c r="A1136" s="73" t="n">
        <x:v>188</x:v>
      </x:c>
      <x:c r="B1136" s="73" t="n">
        <x:v>1</x:v>
      </x:c>
      <x:c r="C1136" s="73" t="str">
        <x:f>INDEX(Drivers!$B$8:$B$13,B1136)</x:f>
        <x:v>赤焰</x:v>
      </x:c>
      <x:c r="D1136" s="83" t="n">
        <x:f>G1130</x:f>
        <x:v>645.9478787199871</x:v>
      </x:c>
      <x:c r="E1136" s="83" t="str">
        <x:f>IF(A1136=0,"GRID",IF(D1136&gt;=Control!$B$17,"FINISHED",IF(AND(A1136&gt;=INDEX(Drivers!$G$8:$G$13,B1136),A1136&lt;INDEX(Drivers!$G$8:$G$13,B1136)+INDEX(Drivers!$J$8:$J$13,B1136)),"PIT",IF(MOD(A1136+INDEX(Drivers!$F$8:$F$13,B1136),Control!$B$11)&lt;Control!$B$13,"BOOST","RACE"))))</x:f>
        <x:v>RACE</x:v>
      </x:c>
      <x:c r="F1136" s="83" t="n">
        <x:f>IF(OR(E1136="GRID",E1136="FINISHED",E1136="PIT"),0,MAX(Control!$B$15,(INDEX(Drivers!$D$8:$D$13,B1136)+INDEX(Drivers!$E$8:$E$13,B1136)*SIN((A1136+INDEX(Drivers!$F$8:$F$13,B1136)+Control!$B$16)*Control!$B$14))*INDEX(TrackMap!$M$8:$M$141,MOD(INT(D1136)-1,Control!$B$7)+1)*IF(E1136="BOOST",Control!$B$12,1)))</x:f>
        <x:v>3.3135580637891673</x:v>
      </x:c>
      <x:c r="G1136" s="83" t="n">
        <x:f>IF(A1136=0,D1136,MIN(Control!$B$17,D1136+F1136))</x:f>
        <x:v>649.2614367837763</x:v>
      </x:c>
      <x:c r="H1136" s="73" t="n">
        <x:f>MOD(INT(G1136)-1,Control!$B$7)+1</x:f>
        <x:v>113</x:v>
      </x:c>
      <x:c r="I1136" s="73" t="n">
        <x:f>MIN(Control!$B$6,MAX(1,INT(MAX(0,G1136)/Control!$B$7)+1))</x:f>
        <x:v>5</x:v>
      </x:c>
      <x:c r="J1136" s="73" t="n">
        <x:f>INDEX(Drivers!$H$8:$H$13,B1136)</x:f>
        <x:v>1</x:v>
      </x:c>
      <x:c r="K1136" s="73" t="n">
        <x:f>IF(J1136=1,INDEX(TrackMap!$I$8:$I$141,H1136),INDEX(TrackMap!$L$8:$L$141,H1136))</x:f>
        <x:v>3138</x:v>
      </x:c>
      <x:c r="L1136" s="73" t="str">
        <x:f>INDEX(TrackMap!$F$8:$F$141,H1136)</x:f>
        <x:v>←</x:v>
      </x:c>
      <x:c r="M1136" s="87" t="n">
        <x:f>MAX(0,G1136/Control!$B$17)</x:f>
        <x:v>0.9690469205728004</x:v>
      </x:c>
      <x:c r="N1136" s="73" t="n">
        <x:f>IF(N1130&gt;0,N1130,IF(G1136&gt;=Control!$B$17,A1136,0))</x:f>
        <x:v>0</x:v>
      </x:c>
      <x:c r="O1136" s="91" t="n">
        <x:f>IF(N1136&gt;0,Control!$B$17+Control!$B$8+1-N1136,G1136)-B1136/100000</x:f>
        <x:v>649.2614267837763</x:v>
      </x:c>
      <x:c r="P1136" s="73" t="n">
        <x:f>COUNTIF($O$1136:$O$1141,"&gt;"&amp;O1136)+1</x:f>
        <x:v>1</x:v>
      </x:c>
      <x:c r="Q1136" s="83" t="n">
        <x:f>MAX($G$1136:$G$1141)-G1136</x:f>
        <x:v>0</x:v>
      </x:c>
      <x:c r="R1136" s="73" t="str">
        <x:f>INDEX(TrackMap!$B$8:$B$141,H1136)</x:f>
        <x:v>发车大直道</x:v>
      </x:c>
    </x:row>
    <x:row r="1137" ht="20" customHeight="1">
      <x:c r="A1137" s="73" t="n">
        <x:v>188</x:v>
      </x:c>
      <x:c r="B1137" s="73" t="n">
        <x:v>2</x:v>
      </x:c>
      <x:c r="C1137" s="73" t="str">
        <x:f>INDEX(Drivers!$B$8:$B$13,B1137)</x:f>
        <x:v>蓝电</x:v>
      </x:c>
      <x:c r="D1137" s="83" t="n">
        <x:f>G1131</x:f>
        <x:v>624.6300614693453</x:v>
      </x:c>
      <x:c r="E1137" s="83" t="str">
        <x:f>IF(A1137=0,"GRID",IF(D1137&gt;=Control!$B$17,"FINISHED",IF(AND(A1137&gt;=INDEX(Drivers!$G$8:$G$13,B1137),A1137&lt;INDEX(Drivers!$G$8:$G$13,B1137)+INDEX(Drivers!$J$8:$J$13,B1137)),"PIT",IF(MOD(A1137+INDEX(Drivers!$F$8:$F$13,B1137),Control!$B$11)&lt;Control!$B$13,"BOOST","RACE"))))</x:f>
        <x:v>RACE</x:v>
      </x:c>
      <x:c r="F1137" s="83" t="n">
        <x:f>IF(OR(E1137="GRID",E1137="FINISHED",E1137="PIT"),0,MAX(Control!$B$15,(INDEX(Drivers!$D$8:$D$13,B1137)+INDEX(Drivers!$E$8:$E$13,B1137)*SIN((A1137+INDEX(Drivers!$F$8:$F$13,B1137)+Control!$B$16)*Control!$B$14))*INDEX(TrackMap!$M$8:$M$141,MOD(INT(D1137)-1,Control!$B$7)+1)*IF(E1137="BOOST",Control!$B$12,1)))</x:f>
        <x:v>4.141330690084462</x:v>
      </x:c>
      <x:c r="G1137" s="83" t="n">
        <x:f>IF(A1137=0,D1137,MIN(Control!$B$17,D1137+F1137))</x:f>
        <x:v>628.7713921594298</x:v>
      </x:c>
      <x:c r="H1137" s="73" t="n">
        <x:f>MOD(INT(G1137)-1,Control!$B$7)+1</x:f>
        <x:v>92</x:v>
      </x:c>
      <x:c r="I1137" s="73" t="n">
        <x:f>MIN(Control!$B$6,MAX(1,INT(MAX(0,G1137)/Control!$B$7)+1))</x:f>
        <x:v>5</x:v>
      </x:c>
      <x:c r="J1137" s="73" t="n">
        <x:f>INDEX(Drivers!$H$8:$H$13,B1137)</x:f>
        <x:v>2</x:v>
      </x:c>
      <x:c r="K1137" s="73" t="n">
        <x:f>IF(J1137=1,INDEX(TrackMap!$I$8:$I$141,H1137),INDEX(TrackMap!$L$8:$L$141,H1137))</x:f>
        <x:v>2151</x:v>
      </x:c>
      <x:c r="L1137" s="73" t="str">
        <x:f>INDEX(TrackMap!$F$8:$F$141,H1137)</x:f>
        <x:v>↓</x:v>
      </x:c>
      <x:c r="M1137" s="87" t="n">
        <x:f>MAX(0,G1137/Control!$B$17)</x:f>
        <x:v>0.9384647644170593</x:v>
      </x:c>
      <x:c r="N1137" s="73" t="n">
        <x:f>IF(N1131&gt;0,N1131,IF(G1137&gt;=Control!$B$17,A1137,0))</x:f>
        <x:v>0</x:v>
      </x:c>
      <x:c r="O1137" s="91" t="n">
        <x:f>IF(N1137&gt;0,Control!$B$17+Control!$B$8+1-N1137,G1137)-B1137/100000</x:f>
        <x:v>628.7713721594298</x:v>
      </x:c>
      <x:c r="P1137" s="73" t="n">
        <x:f>COUNTIF($O$1136:$O$1141,"&gt;"&amp;O1137)+1</x:f>
        <x:v>6</x:v>
      </x:c>
      <x:c r="Q1137" s="83" t="n">
        <x:f>MAX($G$1136:$G$1141)-G1137</x:f>
        <x:v>20.490044624346524</x:v>
      </x:c>
      <x:c r="R1137" s="73" t="str">
        <x:f>INDEX(TrackMap!$B$8:$B$141,H1137)</x:f>
        <x:v>东侧长直道</x:v>
      </x:c>
    </x:row>
    <x:row r="1138" ht="20" customHeight="1">
      <x:c r="A1138" s="73" t="n">
        <x:v>188</x:v>
      </x:c>
      <x:c r="B1138" s="73" t="n">
        <x:v>3</x:v>
      </x:c>
      <x:c r="C1138" s="73" t="str">
        <x:f>INDEX(Drivers!$B$8:$B$13,B1138)</x:f>
        <x:v>金翼</x:v>
      </x:c>
      <x:c r="D1138" s="83" t="n">
        <x:f>G1132</x:f>
        <x:v>643.9964307020143</x:v>
      </x:c>
      <x:c r="E1138" s="83" t="str">
        <x:f>IF(A1138=0,"GRID",IF(D1138&gt;=Control!$B$17,"FINISHED",IF(AND(A1138&gt;=INDEX(Drivers!$G$8:$G$13,B1138),A1138&lt;INDEX(Drivers!$G$8:$G$13,B1138)+INDEX(Drivers!$J$8:$J$13,B1138)),"PIT",IF(MOD(A1138+INDEX(Drivers!$F$8:$F$13,B1138),Control!$B$11)&lt;Control!$B$13,"BOOST","RACE"))))</x:f>
        <x:v>RACE</x:v>
      </x:c>
      <x:c r="F1138" s="83" t="n">
        <x:f>IF(OR(E1138="GRID",E1138="FINISHED",E1138="PIT"),0,MAX(Control!$B$15,(INDEX(Drivers!$D$8:$D$13,B1138)+INDEX(Drivers!$E$8:$E$13,B1138)*SIN((A1138+INDEX(Drivers!$F$8:$F$13,B1138)+Control!$B$16)*Control!$B$14))*INDEX(TrackMap!$M$8:$M$141,MOD(INT(D1138)-1,Control!$B$7)+1)*IF(E1138="BOOST",Control!$B$12,1)))</x:f>
        <x:v>3.209055828351932</x:v>
      </x:c>
      <x:c r="G1138" s="83" t="n">
        <x:f>IF(A1138=0,D1138,MIN(Control!$B$17,D1138+F1138))</x:f>
        <x:v>647.2054865303662</x:v>
      </x:c>
      <x:c r="H1138" s="73" t="n">
        <x:f>MOD(INT(G1138)-1,Control!$B$7)+1</x:f>
        <x:v>111</x:v>
      </x:c>
      <x:c r="I1138" s="73" t="n">
        <x:f>MIN(Control!$B$6,MAX(1,INT(MAX(0,G1138)/Control!$B$7)+1))</x:f>
        <x:v>5</x:v>
      </x:c>
      <x:c r="J1138" s="73" t="n">
        <x:f>INDEX(Drivers!$H$8:$H$13,B1138)</x:f>
        <x:v>1</x:v>
      </x:c>
      <x:c r="K1138" s="73" t="n">
        <x:f>IF(J1138=1,INDEX(TrackMap!$I$8:$I$141,H1138),INDEX(TrackMap!$L$8:$L$141,H1138))</x:f>
        <x:v>3140</x:v>
      </x:c>
      <x:c r="L1138" s="73" t="str">
        <x:f>INDEX(TrackMap!$F$8:$F$141,H1138)</x:f>
        <x:v>←</x:v>
      </x:c>
      <x:c r="M1138" s="87" t="n">
        <x:f>MAX(0,G1138/Control!$B$17)</x:f>
        <x:v>0.9659783381050242</x:v>
      </x:c>
      <x:c r="N1138" s="73" t="n">
        <x:f>IF(N1132&gt;0,N1132,IF(G1138&gt;=Control!$B$17,A1138,0))</x:f>
        <x:v>0</x:v>
      </x:c>
      <x:c r="O1138" s="91" t="n">
        <x:f>IF(N1138&gt;0,Control!$B$17+Control!$B$8+1-N1138,G1138)-B1138/100000</x:f>
        <x:v>647.2054565303662</x:v>
      </x:c>
      <x:c r="P1138" s="73" t="n">
        <x:f>COUNTIF($O$1136:$O$1141,"&gt;"&amp;O1138)+1</x:f>
        <x:v>2</x:v>
      </x:c>
      <x:c r="Q1138" s="83" t="n">
        <x:f>MAX($G$1136:$G$1141)-G1138</x:f>
        <x:v>2.05595025341006</x:v>
      </x:c>
      <x:c r="R1138" s="73" t="str">
        <x:f>INDEX(TrackMap!$B$8:$B$141,H1138)</x:f>
        <x:v>发车大直道</x:v>
      </x:c>
    </x:row>
    <x:row r="1139" ht="20" customHeight="1">
      <x:c r="A1139" s="73" t="n">
        <x:v>188</x:v>
      </x:c>
      <x:c r="B1139" s="73" t="n">
        <x:v>4</x:v>
      </x:c>
      <x:c r="C1139" s="73" t="str">
        <x:f>INDEX(Drivers!$B$8:$B$13,B1139)</x:f>
        <x:v>紫影</x:v>
      </x:c>
      <x:c r="D1139" s="83" t="n">
        <x:f>G1133</x:f>
        <x:v>625.5360396458764</x:v>
      </x:c>
      <x:c r="E1139" s="83" t="str">
        <x:f>IF(A1139=0,"GRID",IF(D1139&gt;=Control!$B$17,"FINISHED",IF(AND(A1139&gt;=INDEX(Drivers!$G$8:$G$13,B1139),A1139&lt;INDEX(Drivers!$G$8:$G$13,B1139)+INDEX(Drivers!$J$8:$J$13,B1139)),"PIT",IF(MOD(A1139+INDEX(Drivers!$F$8:$F$13,B1139),Control!$B$11)&lt;Control!$B$13,"BOOST","RACE"))))</x:f>
        <x:v>RACE</x:v>
      </x:c>
      <x:c r="F1139" s="83" t="n">
        <x:f>IF(OR(E1139="GRID",E1139="FINISHED",E1139="PIT"),0,MAX(Control!$B$15,(INDEX(Drivers!$D$8:$D$13,B1139)+INDEX(Drivers!$E$8:$E$13,B1139)*SIN((A1139+INDEX(Drivers!$F$8:$F$13,B1139)+Control!$B$16)*Control!$B$14))*INDEX(TrackMap!$M$8:$M$141,MOD(INT(D1139)-1,Control!$B$7)+1)*IF(E1139="BOOST",Control!$B$12,1)))</x:f>
        <x:v>4.027448251220396</x:v>
      </x:c>
      <x:c r="G1139" s="83" t="n">
        <x:f>IF(A1139=0,D1139,MIN(Control!$B$17,D1139+F1139))</x:f>
        <x:v>629.5634878970968</x:v>
      </x:c>
      <x:c r="H1139" s="73" t="n">
        <x:f>MOD(INT(G1139)-1,Control!$B$7)+1</x:f>
        <x:v>93</x:v>
      </x:c>
      <x:c r="I1139" s="73" t="n">
        <x:f>MIN(Control!$B$6,MAX(1,INT(MAX(0,G1139)/Control!$B$7)+1))</x:f>
        <x:v>5</x:v>
      </x:c>
      <x:c r="J1139" s="73" t="n">
        <x:f>INDEX(Drivers!$H$8:$H$13,B1139)</x:f>
        <x:v>2</x:v>
      </x:c>
      <x:c r="K1139" s="73" t="n">
        <x:f>IF(J1139=1,INDEX(TrackMap!$I$8:$I$141,H1139),INDEX(TrackMap!$L$8:$L$141,H1139))</x:f>
        <x:v>2251</x:v>
      </x:c>
      <x:c r="L1139" s="73" t="str">
        <x:f>INDEX(TrackMap!$F$8:$F$141,H1139)</x:f>
        <x:v>↓</x:v>
      </x:c>
      <x:c r="M1139" s="87" t="n">
        <x:f>MAX(0,G1139/Control!$B$17)</x:f>
        <x:v>0.9396469968613386</x:v>
      </x:c>
      <x:c r="N1139" s="73" t="n">
        <x:f>IF(N1133&gt;0,N1133,IF(G1139&gt;=Control!$B$17,A1139,0))</x:f>
        <x:v>0</x:v>
      </x:c>
      <x:c r="O1139" s="91" t="n">
        <x:f>IF(N1139&gt;0,Control!$B$17+Control!$B$8+1-N1139,G1139)-B1139/100000</x:f>
        <x:v>629.5634478970968</x:v>
      </x:c>
      <x:c r="P1139" s="73" t="n">
        <x:f>COUNTIF($O$1136:$O$1141,"&gt;"&amp;O1139)+1</x:f>
        <x:v>5</x:v>
      </x:c>
      <x:c r="Q1139" s="83" t="n">
        <x:f>MAX($G$1136:$G$1141)-G1139</x:f>
        <x:v>19.697948886679455</x:v>
      </x:c>
      <x:c r="R1139" s="73" t="str">
        <x:f>INDEX(TrackMap!$B$8:$B$141,H1139)</x:f>
        <x:v>东侧长直道</x:v>
      </x:c>
    </x:row>
    <x:row r="1140" ht="20" customHeight="1">
      <x:c r="A1140" s="73" t="n">
        <x:v>188</x:v>
      </x:c>
      <x:c r="B1140" s="73" t="n">
        <x:v>5</x:v>
      </x:c>
      <x:c r="C1140" s="73" t="str">
        <x:f>INDEX(Drivers!$B$8:$B$13,B1140)</x:f>
        <x:v>青锋</x:v>
      </x:c>
      <x:c r="D1140" s="83" t="n">
        <x:f>G1134</x:f>
        <x:v>639.3688356467597</x:v>
      </x:c>
      <x:c r="E1140" s="83" t="str">
        <x:f>IF(A1140=0,"GRID",IF(D1140&gt;=Control!$B$17,"FINISHED",IF(AND(A1140&gt;=INDEX(Drivers!$G$8:$G$13,B1140),A1140&lt;INDEX(Drivers!$G$8:$G$13,B1140)+INDEX(Drivers!$J$8:$J$13,B1140)),"PIT",IF(MOD(A1140+INDEX(Drivers!$F$8:$F$13,B1140),Control!$B$11)&lt;Control!$B$13,"BOOST","RACE"))))</x:f>
        <x:v>RACE</x:v>
      </x:c>
      <x:c r="F1140" s="83" t="n">
        <x:f>IF(OR(E1140="GRID",E1140="FINISHED",E1140="PIT"),0,MAX(Control!$B$15,(INDEX(Drivers!$D$8:$D$13,B1140)+INDEX(Drivers!$E$8:$E$13,B1140)*SIN((A1140+INDEX(Drivers!$F$8:$F$13,B1140)+Control!$B$16)*Control!$B$14))*INDEX(TrackMap!$M$8:$M$141,MOD(INT(D1140)-1,Control!$B$7)+1)*IF(E1140="BOOST",Control!$B$12,1)))</x:f>
        <x:v>4.010825387579969</x:v>
      </x:c>
      <x:c r="G1140" s="83" t="n">
        <x:f>IF(A1140=0,D1140,MIN(Control!$B$17,D1140+F1140))</x:f>
        <x:v>643.3796610343397</x:v>
      </x:c>
      <x:c r="H1140" s="73" t="n">
        <x:f>MOD(INT(G1140)-1,Control!$B$7)+1</x:f>
        <x:v>107</x:v>
      </x:c>
      <x:c r="I1140" s="73" t="n">
        <x:f>MIN(Control!$B$6,MAX(1,INT(MAX(0,G1140)/Control!$B$7)+1))</x:f>
        <x:v>5</x:v>
      </x:c>
      <x:c r="J1140" s="73" t="n">
        <x:f>INDEX(Drivers!$H$8:$H$13,B1140)</x:f>
        <x:v>1</x:v>
      </x:c>
      <x:c r="K1140" s="73" t="n">
        <x:f>IF(J1140=1,INDEX(TrackMap!$I$8:$I$141,H1140),INDEX(TrackMap!$L$8:$L$141,H1140))</x:f>
        <x:v>3144</x:v>
      </x:c>
      <x:c r="L1140" s="73" t="str">
        <x:f>INDEX(TrackMap!$F$8:$F$141,H1140)</x:f>
        <x:v>←</x:v>
      </x:c>
      <x:c r="M1140" s="87" t="n">
        <x:f>MAX(0,G1140/Control!$B$17)</x:f>
        <x:v>0.960268150797522</x:v>
      </x:c>
      <x:c r="N1140" s="73" t="n">
        <x:f>IF(N1134&gt;0,N1134,IF(G1140&gt;=Control!$B$17,A1140,0))</x:f>
        <x:v>0</x:v>
      </x:c>
      <x:c r="O1140" s="91" t="n">
        <x:f>IF(N1140&gt;0,Control!$B$17+Control!$B$8+1-N1140,G1140)-B1140/100000</x:f>
        <x:v>643.3796110343397</x:v>
      </x:c>
      <x:c r="P1140" s="73" t="n">
        <x:f>COUNTIF($O$1136:$O$1141,"&gt;"&amp;O1140)+1</x:f>
        <x:v>4</x:v>
      </x:c>
      <x:c r="Q1140" s="83" t="n">
        <x:f>MAX($G$1136:$G$1141)-G1140</x:f>
        <x:v>5.881775749436542</x:v>
      </x:c>
      <x:c r="R1140" s="73" t="str">
        <x:f>INDEX(TrackMap!$B$8:$B$141,H1140)</x:f>
        <x:v>发车大直道</x:v>
      </x:c>
    </x:row>
    <x:row r="1141" ht="20" customHeight="1">
      <x:c r="A1141" s="73" t="n">
        <x:v>188</x:v>
      </x:c>
      <x:c r="B1141" s="73" t="n">
        <x:v>6</x:v>
      </x:c>
      <x:c r="C1141" s="73" t="str">
        <x:f>INDEX(Drivers!$B$8:$B$13,B1141)</x:f>
        <x:v>玫速</x:v>
      </x:c>
      <x:c r="D1141" s="83" t="n">
        <x:f>G1135</x:f>
        <x:v>640.5567490520606</x:v>
      </x:c>
      <x:c r="E1141" s="83" t="str">
        <x:f>IF(A1141=0,"GRID",IF(D1141&gt;=Control!$B$17,"FINISHED",IF(AND(A1141&gt;=INDEX(Drivers!$G$8:$G$13,B1141),A1141&lt;INDEX(Drivers!$G$8:$G$13,B1141)+INDEX(Drivers!$J$8:$J$13,B1141)),"PIT",IF(MOD(A1141+INDEX(Drivers!$F$8:$F$13,B1141),Control!$B$11)&lt;Control!$B$13,"BOOST","RACE"))))</x:f>
        <x:v>RACE</x:v>
      </x:c>
      <x:c r="F1141" s="83" t="n">
        <x:f>IF(OR(E1141="GRID",E1141="FINISHED",E1141="PIT"),0,MAX(Control!$B$15,(INDEX(Drivers!$D$8:$D$13,B1141)+INDEX(Drivers!$E$8:$E$13,B1141)*SIN((A1141+INDEX(Drivers!$F$8:$F$13,B1141)+Control!$B$16)*Control!$B$14))*INDEX(TrackMap!$M$8:$M$141,MOD(INT(D1141)-1,Control!$B$7)+1)*IF(E1141="BOOST",Control!$B$12,1)))</x:f>
        <x:v>3.519854936841189</x:v>
      </x:c>
      <x:c r="G1141" s="83" t="n">
        <x:f>IF(A1141=0,D1141,MIN(Control!$B$17,D1141+F1141))</x:f>
        <x:v>644.0766039889018</x:v>
      </x:c>
      <x:c r="H1141" s="73" t="n">
        <x:f>MOD(INT(G1141)-1,Control!$B$7)+1</x:f>
        <x:v>108</x:v>
      </x:c>
      <x:c r="I1141" s="73" t="n">
        <x:f>MIN(Control!$B$6,MAX(1,INT(MAX(0,G1141)/Control!$B$7)+1))</x:f>
        <x:v>5</x:v>
      </x:c>
      <x:c r="J1141" s="73" t="n">
        <x:f>INDEX(Drivers!$H$8:$H$13,B1141)</x:f>
        <x:v>2</x:v>
      </x:c>
      <x:c r="K1141" s="73" t="n">
        <x:f>IF(J1141=1,INDEX(TrackMap!$I$8:$I$141,H1141),INDEX(TrackMap!$L$8:$L$141,H1141))</x:f>
        <x:v>3043</x:v>
      </x:c>
      <x:c r="L1141" s="73" t="str">
        <x:f>INDEX(TrackMap!$F$8:$F$141,H1141)</x:f>
        <x:v>←</x:v>
      </x:c>
      <x:c r="M1141" s="87" t="n">
        <x:f>MAX(0,G1141/Control!$B$17)</x:f>
        <x:v>0.96130836416254</x:v>
      </x:c>
      <x:c r="N1141" s="73" t="n">
        <x:f>IF(N1135&gt;0,N1135,IF(G1141&gt;=Control!$B$17,A1141,0))</x:f>
        <x:v>0</x:v>
      </x:c>
      <x:c r="O1141" s="91" t="n">
        <x:f>IF(N1141&gt;0,Control!$B$17+Control!$B$8+1-N1141,G1141)-B1141/100000</x:f>
        <x:v>644.0765439889018</x:v>
      </x:c>
      <x:c r="P1141" s="73" t="n">
        <x:f>COUNTIF($O$1136:$O$1141,"&gt;"&amp;O1141)+1</x:f>
        <x:v>3</x:v>
      </x:c>
      <x:c r="Q1141" s="83" t="n">
        <x:f>MAX($G$1136:$G$1141)-G1141</x:f>
        <x:v>5.184832794874524</x:v>
      </x:c>
      <x:c r="R1141" s="73" t="str">
        <x:f>INDEX(TrackMap!$B$8:$B$141,H1141)</x:f>
        <x:v>发车大直道</x:v>
      </x:c>
    </x:row>
    <x:row r="1142" ht="20" customHeight="1">
      <x:c r="A1142" s="73" t="n">
        <x:v>189</x:v>
      </x:c>
      <x:c r="B1142" s="73" t="n">
        <x:v>1</x:v>
      </x:c>
      <x:c r="C1142" s="73" t="str">
        <x:f>INDEX(Drivers!$B$8:$B$13,B1142)</x:f>
        <x:v>赤焰</x:v>
      </x:c>
      <x:c r="D1142" s="83" t="n">
        <x:f>G1136</x:f>
        <x:v>649.2614367837763</x:v>
      </x:c>
      <x:c r="E1142" s="83" t="str">
        <x:f>IF(A1142=0,"GRID",IF(D1142&gt;=Control!$B$17,"FINISHED",IF(AND(A1142&gt;=INDEX(Drivers!$G$8:$G$13,B1142),A1142&lt;INDEX(Drivers!$G$8:$G$13,B1142)+INDEX(Drivers!$J$8:$J$13,B1142)),"PIT",IF(MOD(A1142+INDEX(Drivers!$F$8:$F$13,B1142),Control!$B$11)&lt;Control!$B$13,"BOOST","RACE"))))</x:f>
        <x:v>RACE</x:v>
      </x:c>
      <x:c r="F1142" s="83" t="n">
        <x:f>IF(OR(E1142="GRID",E1142="FINISHED",E1142="PIT"),0,MAX(Control!$B$15,(INDEX(Drivers!$D$8:$D$13,B1142)+INDEX(Drivers!$E$8:$E$13,B1142)*SIN((A1142+INDEX(Drivers!$F$8:$F$13,B1142)+Control!$B$16)*Control!$B$14))*INDEX(TrackMap!$M$8:$M$141,MOD(INT(D1142)-1,Control!$B$7)+1)*IF(E1142="BOOST",Control!$B$12,1)))</x:f>
        <x:v>3.4936627018467368</x:v>
      </x:c>
      <x:c r="G1142" s="83" t="n">
        <x:f>IF(A1142=0,D1142,MIN(Control!$B$17,D1142+F1142))</x:f>
        <x:v>652.755099485623</x:v>
      </x:c>
      <x:c r="H1142" s="73" t="n">
        <x:f>MOD(INT(G1142)-1,Control!$B$7)+1</x:f>
        <x:v>116</x:v>
      </x:c>
      <x:c r="I1142" s="73" t="n">
        <x:f>MIN(Control!$B$6,MAX(1,INT(MAX(0,G1142)/Control!$B$7)+1))</x:f>
        <x:v>5</x:v>
      </x:c>
      <x:c r="J1142" s="73" t="n">
        <x:f>INDEX(Drivers!$H$8:$H$13,B1142)</x:f>
        <x:v>1</x:v>
      </x:c>
      <x:c r="K1142" s="73" t="n">
        <x:f>IF(J1142=1,INDEX(TrackMap!$I$8:$I$141,H1142),INDEX(TrackMap!$L$8:$L$141,H1142))</x:f>
        <x:v>3135</x:v>
      </x:c>
      <x:c r="L1142" s="73" t="str">
        <x:f>INDEX(TrackMap!$F$8:$F$141,H1142)</x:f>
        <x:v>←</x:v>
      </x:c>
      <x:c r="M1142" s="87" t="n">
        <x:f>MAX(0,G1142/Control!$B$17)</x:f>
        <x:v>0.9742613425158552</x:v>
      </x:c>
      <x:c r="N1142" s="73" t="n">
        <x:f>IF(N1136&gt;0,N1136,IF(G1142&gt;=Control!$B$17,A1142,0))</x:f>
        <x:v>0</x:v>
      </x:c>
      <x:c r="O1142" s="91" t="n">
        <x:f>IF(N1142&gt;0,Control!$B$17+Control!$B$8+1-N1142,G1142)-B1142/100000</x:f>
        <x:v>652.755089485623</x:v>
      </x:c>
      <x:c r="P1142" s="73" t="n">
        <x:f>COUNTIF($O$1142:$O$1147,"&gt;"&amp;O1142)+1</x:f>
        <x:v>1</x:v>
      </x:c>
      <x:c r="Q1142" s="83" t="n">
        <x:f>MAX($G$1142:$G$1147)-G1142</x:f>
        <x:v>0</x:v>
      </x:c>
      <x:c r="R1142" s="73" t="str">
        <x:f>INDEX(TrackMap!$B$8:$B$141,H1142)</x:f>
        <x:v>发车大直道</x:v>
      </x:c>
    </x:row>
    <x:row r="1143" ht="20" customHeight="1">
      <x:c r="A1143" s="73" t="n">
        <x:v>189</x:v>
      </x:c>
      <x:c r="B1143" s="73" t="n">
        <x:v>2</x:v>
      </x:c>
      <x:c r="C1143" s="73" t="str">
        <x:f>INDEX(Drivers!$B$8:$B$13,B1143)</x:f>
        <x:v>蓝电</x:v>
      </x:c>
      <x:c r="D1143" s="83" t="n">
        <x:f>G1137</x:f>
        <x:v>628.7713921594298</x:v>
      </x:c>
      <x:c r="E1143" s="83" t="str">
        <x:f>IF(A1143=0,"GRID",IF(D1143&gt;=Control!$B$17,"FINISHED",IF(AND(A1143&gt;=INDEX(Drivers!$G$8:$G$13,B1143),A1143&lt;INDEX(Drivers!$G$8:$G$13,B1143)+INDEX(Drivers!$J$8:$J$13,B1143)),"PIT",IF(MOD(A1143+INDEX(Drivers!$F$8:$F$13,B1143),Control!$B$11)&lt;Control!$B$13,"BOOST","RACE"))))</x:f>
        <x:v>RACE</x:v>
      </x:c>
      <x:c r="F1143" s="83" t="n">
        <x:f>IF(OR(E1143="GRID",E1143="FINISHED",E1143="PIT"),0,MAX(Control!$B$15,(INDEX(Drivers!$D$8:$D$13,B1143)+INDEX(Drivers!$E$8:$E$13,B1143)*SIN((A1143+INDEX(Drivers!$F$8:$F$13,B1143)+Control!$B$16)*Control!$B$14))*INDEX(TrackMap!$M$8:$M$141,MOD(INT(D1143)-1,Control!$B$7)+1)*IF(E1143="BOOST",Control!$B$12,1)))</x:f>
        <x:v>4.026712312611895</x:v>
      </x:c>
      <x:c r="G1143" s="83" t="n">
        <x:f>IF(A1143=0,D1143,MIN(Control!$B$17,D1143+F1143))</x:f>
        <x:v>632.7981044720417</x:v>
      </x:c>
      <x:c r="H1143" s="73" t="n">
        <x:f>MOD(INT(G1143)-1,Control!$B$7)+1</x:f>
        <x:v>96</x:v>
      </x:c>
      <x:c r="I1143" s="73" t="n">
        <x:f>MIN(Control!$B$6,MAX(1,INT(MAX(0,G1143)/Control!$B$7)+1))</x:f>
        <x:v>5</x:v>
      </x:c>
      <x:c r="J1143" s="73" t="n">
        <x:f>INDEX(Drivers!$H$8:$H$13,B1143)</x:f>
        <x:v>2</x:v>
      </x:c>
      <x:c r="K1143" s="73" t="n">
        <x:f>IF(J1143=1,INDEX(TrackMap!$I$8:$I$141,H1143),INDEX(TrackMap!$L$8:$L$141,H1143))</x:f>
        <x:v>2551</x:v>
      </x:c>
      <x:c r="L1143" s="73" t="str">
        <x:f>INDEX(TrackMap!$F$8:$F$141,H1143)</x:f>
        <x:v>↓</x:v>
      </x:c>
      <x:c r="M1143" s="87" t="n">
        <x:f>MAX(0,G1143/Control!$B$17)</x:f>
        <x:v>0.9444747827940921</x:v>
      </x:c>
      <x:c r="N1143" s="73" t="n">
        <x:f>IF(N1137&gt;0,N1137,IF(G1143&gt;=Control!$B$17,A1143,0))</x:f>
        <x:v>0</x:v>
      </x:c>
      <x:c r="O1143" s="91" t="n">
        <x:f>IF(N1143&gt;0,Control!$B$17+Control!$B$8+1-N1143,G1143)-B1143/100000</x:f>
        <x:v>632.7980844720418</x:v>
      </x:c>
      <x:c r="P1143" s="73" t="n">
        <x:f>COUNTIF($O$1142:$O$1147,"&gt;"&amp;O1143)+1</x:f>
        <x:v>6</x:v>
      </x:c>
      <x:c r="Q1143" s="83" t="n">
        <x:f>MAX($G$1142:$G$1147)-G1143</x:f>
        <x:v>19.956995013581263</x:v>
      </x:c>
      <x:c r="R1143" s="73" t="str">
        <x:f>INDEX(TrackMap!$B$8:$B$141,H1143)</x:f>
        <x:v>东侧长直道</x:v>
      </x:c>
    </x:row>
    <x:row r="1144" ht="20" customHeight="1">
      <x:c r="A1144" s="73" t="n">
        <x:v>189</x:v>
      </x:c>
      <x:c r="B1144" s="73" t="n">
        <x:v>3</x:v>
      </x:c>
      <x:c r="C1144" s="73" t="str">
        <x:f>INDEX(Drivers!$B$8:$B$13,B1144)</x:f>
        <x:v>金翼</x:v>
      </x:c>
      <x:c r="D1144" s="83" t="n">
        <x:f>G1138</x:f>
        <x:v>647.2054865303662</x:v>
      </x:c>
      <x:c r="E1144" s="83" t="str">
        <x:f>IF(A1144=0,"GRID",IF(D1144&gt;=Control!$B$17,"FINISHED",IF(AND(A1144&gt;=INDEX(Drivers!$G$8:$G$13,B1144),A1144&lt;INDEX(Drivers!$G$8:$G$13,B1144)+INDEX(Drivers!$J$8:$J$13,B1144)),"PIT",IF(MOD(A1144+INDEX(Drivers!$F$8:$F$13,B1144),Control!$B$11)&lt;Control!$B$13,"BOOST","RACE"))))</x:f>
        <x:v>RACE</x:v>
      </x:c>
      <x:c r="F1144" s="83" t="n">
        <x:f>IF(OR(E1144="GRID",E1144="FINISHED",E1144="PIT"),0,MAX(Control!$B$15,(INDEX(Drivers!$D$8:$D$13,B1144)+INDEX(Drivers!$E$8:$E$13,B1144)*SIN((A1144+INDEX(Drivers!$F$8:$F$13,B1144)+Control!$B$16)*Control!$B$14))*INDEX(TrackMap!$M$8:$M$141,MOD(INT(D1144)-1,Control!$B$7)+1)*IF(E1144="BOOST",Control!$B$12,1)))</x:f>
        <x:v>3.2080234032187</x:v>
      </x:c>
      <x:c r="G1144" s="83" t="n">
        <x:f>IF(A1144=0,D1144,MIN(Control!$B$17,D1144+F1144))</x:f>
        <x:v>650.4135099335849</x:v>
      </x:c>
      <x:c r="H1144" s="73" t="n">
        <x:f>MOD(INT(G1144)-1,Control!$B$7)+1</x:f>
        <x:v>114</x:v>
      </x:c>
      <x:c r="I1144" s="73" t="n">
        <x:f>MIN(Control!$B$6,MAX(1,INT(MAX(0,G1144)/Control!$B$7)+1))</x:f>
        <x:v>5</x:v>
      </x:c>
      <x:c r="J1144" s="73" t="n">
        <x:f>INDEX(Drivers!$H$8:$H$13,B1144)</x:f>
        <x:v>1</x:v>
      </x:c>
      <x:c r="K1144" s="73" t="n">
        <x:f>IF(J1144=1,INDEX(TrackMap!$I$8:$I$141,H1144),INDEX(TrackMap!$L$8:$L$141,H1144))</x:f>
        <x:v>3137</x:v>
      </x:c>
      <x:c r="L1144" s="73" t="str">
        <x:f>INDEX(TrackMap!$F$8:$F$141,H1144)</x:f>
        <x:v>←</x:v>
      </x:c>
      <x:c r="M1144" s="87" t="n">
        <x:f>MAX(0,G1144/Control!$B$17)</x:f>
        <x:v>0.9707664327366939</x:v>
      </x:c>
      <x:c r="N1144" s="73" t="n">
        <x:f>IF(N1138&gt;0,N1138,IF(G1144&gt;=Control!$B$17,A1144,0))</x:f>
        <x:v>0</x:v>
      </x:c>
      <x:c r="O1144" s="91" t="n">
        <x:f>IF(N1144&gt;0,Control!$B$17+Control!$B$8+1-N1144,G1144)-B1144/100000</x:f>
        <x:v>650.4134799335849</x:v>
      </x:c>
      <x:c r="P1144" s="73" t="n">
        <x:f>COUNTIF($O$1142:$O$1147,"&gt;"&amp;O1144)+1</x:f>
        <x:v>2</x:v>
      </x:c>
      <x:c r="Q1144" s="83" t="n">
        <x:f>MAX($G$1142:$G$1147)-G1144</x:f>
        <x:v>2.3415895520380445</x:v>
      </x:c>
      <x:c r="R1144" s="73" t="str">
        <x:f>INDEX(TrackMap!$B$8:$B$141,H1144)</x:f>
        <x:v>发车大直道</x:v>
      </x:c>
    </x:row>
    <x:row r="1145" ht="20" customHeight="1">
      <x:c r="A1145" s="73" t="n">
        <x:v>189</x:v>
      </x:c>
      <x:c r="B1145" s="73" t="n">
        <x:v>4</x:v>
      </x:c>
      <x:c r="C1145" s="73" t="str">
        <x:f>INDEX(Drivers!$B$8:$B$13,B1145)</x:f>
        <x:v>紫影</x:v>
      </x:c>
      <x:c r="D1145" s="83" t="n">
        <x:f>G1139</x:f>
        <x:v>629.5634878970968</x:v>
      </x:c>
      <x:c r="E1145" s="83" t="str">
        <x:f>IF(A1145=0,"GRID",IF(D1145&gt;=Control!$B$17,"FINISHED",IF(AND(A1145&gt;=INDEX(Drivers!$G$8:$G$13,B1145),A1145&lt;INDEX(Drivers!$G$8:$G$13,B1145)+INDEX(Drivers!$J$8:$J$13,B1145)),"PIT",IF(MOD(A1145+INDEX(Drivers!$F$8:$F$13,B1145),Control!$B$11)&lt;Control!$B$13,"BOOST","RACE"))))</x:f>
        <x:v>RACE</x:v>
      </x:c>
      <x:c r="F1145" s="83" t="n">
        <x:f>IF(OR(E1145="GRID",E1145="FINISHED",E1145="PIT"),0,MAX(Control!$B$15,(INDEX(Drivers!$D$8:$D$13,B1145)+INDEX(Drivers!$E$8:$E$13,B1145)*SIN((A1145+INDEX(Drivers!$F$8:$F$13,B1145)+Control!$B$16)*Control!$B$14))*INDEX(TrackMap!$M$8:$M$141,MOD(INT(D1145)-1,Control!$B$7)+1)*IF(E1145="BOOST",Control!$B$12,1)))</x:f>
        <x:v>4.140286008756617</x:v>
      </x:c>
      <x:c r="G1145" s="83" t="n">
        <x:f>IF(A1145=0,D1145,MIN(Control!$B$17,D1145+F1145))</x:f>
        <x:v>633.7037739058534</x:v>
      </x:c>
      <x:c r="H1145" s="73" t="n">
        <x:f>MOD(INT(G1145)-1,Control!$B$7)+1</x:f>
        <x:v>97</x:v>
      </x:c>
      <x:c r="I1145" s="73" t="n">
        <x:f>MIN(Control!$B$6,MAX(1,INT(MAX(0,G1145)/Control!$B$7)+1))</x:f>
        <x:v>5</x:v>
      </x:c>
      <x:c r="J1145" s="73" t="n">
        <x:f>INDEX(Drivers!$H$8:$H$13,B1145)</x:f>
        <x:v>2</x:v>
      </x:c>
      <x:c r="K1145" s="73" t="n">
        <x:f>IF(J1145=1,INDEX(TrackMap!$I$8:$I$141,H1145),INDEX(TrackMap!$L$8:$L$141,H1145))</x:f>
        <x:v>2651</x:v>
      </x:c>
      <x:c r="L1145" s="73" t="str">
        <x:f>INDEX(TrackMap!$F$8:$F$141,H1145)</x:f>
        <x:v>↓</x:v>
      </x:c>
      <x:c r="M1145" s="87" t="n">
        <x:f>MAX(0,G1145/Control!$B$17)</x:f>
        <x:v>0.9458265282176916</x:v>
      </x:c>
      <x:c r="N1145" s="73" t="n">
        <x:f>IF(N1139&gt;0,N1139,IF(G1145&gt;=Control!$B$17,A1145,0))</x:f>
        <x:v>0</x:v>
      </x:c>
      <x:c r="O1145" s="91" t="n">
        <x:f>IF(N1145&gt;0,Control!$B$17+Control!$B$8+1-N1145,G1145)-B1145/100000</x:f>
        <x:v>633.7037339058534</x:v>
      </x:c>
      <x:c r="P1145" s="73" t="n">
        <x:f>COUNTIF($O$1142:$O$1147,"&gt;"&amp;O1145)+1</x:f>
        <x:v>5</x:v>
      </x:c>
      <x:c r="Q1145" s="83" t="n">
        <x:f>MAX($G$1142:$G$1147)-G1145</x:f>
        <x:v>19.051325579769582</x:v>
      </x:c>
      <x:c r="R1145" s="73" t="str">
        <x:f>INDEX(TrackMap!$B$8:$B$141,H1145)</x:f>
        <x:v>东侧长直道</x:v>
      </x:c>
    </x:row>
    <x:row r="1146" ht="20" customHeight="1">
      <x:c r="A1146" s="73" t="n">
        <x:v>189</x:v>
      </x:c>
      <x:c r="B1146" s="73" t="n">
        <x:v>5</x:v>
      </x:c>
      <x:c r="C1146" s="73" t="str">
        <x:f>INDEX(Drivers!$B$8:$B$13,B1146)</x:f>
        <x:v>青锋</x:v>
      </x:c>
      <x:c r="D1146" s="83" t="n">
        <x:f>G1140</x:f>
        <x:v>643.3796610343397</x:v>
      </x:c>
      <x:c r="E1146" s="83" t="str">
        <x:f>IF(A1146=0,"GRID",IF(D1146&gt;=Control!$B$17,"FINISHED",IF(AND(A1146&gt;=INDEX(Drivers!$G$8:$G$13,B1146),A1146&lt;INDEX(Drivers!$G$8:$G$13,B1146)+INDEX(Drivers!$J$8:$J$13,B1146)),"PIT",IF(MOD(A1146+INDEX(Drivers!$F$8:$F$13,B1146),Control!$B$11)&lt;Control!$B$13,"BOOST","RACE"))))</x:f>
        <x:v>RACE</x:v>
      </x:c>
      <x:c r="F1146" s="83" t="n">
        <x:f>IF(OR(E1146="GRID",E1146="FINISHED",E1146="PIT"),0,MAX(Control!$B$15,(INDEX(Drivers!$D$8:$D$13,B1146)+INDEX(Drivers!$E$8:$E$13,B1146)*SIN((A1146+INDEX(Drivers!$F$8:$F$13,B1146)+Control!$B$16)*Control!$B$14))*INDEX(TrackMap!$M$8:$M$141,MOD(INT(D1146)-1,Control!$B$7)+1)*IF(E1146="BOOST",Control!$B$12,1)))</x:f>
        <x:v>4.113094397157851</x:v>
      </x:c>
      <x:c r="G1146" s="83" t="n">
        <x:f>IF(A1146=0,D1146,MIN(Control!$B$17,D1146+F1146))</x:f>
        <x:v>647.4927554314976</x:v>
      </x:c>
      <x:c r="H1146" s="73" t="n">
        <x:f>MOD(INT(G1146)-1,Control!$B$7)+1</x:f>
        <x:v>111</x:v>
      </x:c>
      <x:c r="I1146" s="73" t="n">
        <x:f>MIN(Control!$B$6,MAX(1,INT(MAX(0,G1146)/Control!$B$7)+1))</x:f>
        <x:v>5</x:v>
      </x:c>
      <x:c r="J1146" s="73" t="n">
        <x:f>INDEX(Drivers!$H$8:$H$13,B1146)</x:f>
        <x:v>1</x:v>
      </x:c>
      <x:c r="K1146" s="73" t="n">
        <x:f>IF(J1146=1,INDEX(TrackMap!$I$8:$I$141,H1146),INDEX(TrackMap!$L$8:$L$141,H1146))</x:f>
        <x:v>3140</x:v>
      </x:c>
      <x:c r="L1146" s="73" t="str">
        <x:f>INDEX(TrackMap!$F$8:$F$141,H1146)</x:f>
        <x:v>←</x:v>
      </x:c>
      <x:c r="M1146" s="87" t="n">
        <x:f>MAX(0,G1146/Control!$B$17)</x:f>
        <x:v>0.9664070976589516</x:v>
      </x:c>
      <x:c r="N1146" s="73" t="n">
        <x:f>IF(N1140&gt;0,N1140,IF(G1146&gt;=Control!$B$17,A1146,0))</x:f>
        <x:v>0</x:v>
      </x:c>
      <x:c r="O1146" s="91" t="n">
        <x:f>IF(N1146&gt;0,Control!$B$17+Control!$B$8+1-N1146,G1146)-B1146/100000</x:f>
        <x:v>647.4927054314976</x:v>
      </x:c>
      <x:c r="P1146" s="73" t="n">
        <x:f>COUNTIF($O$1142:$O$1147,"&gt;"&amp;O1146)+1</x:f>
        <x:v>3</x:v>
      </x:c>
      <x:c r="Q1146" s="83" t="n">
        <x:f>MAX($G$1142:$G$1147)-G1146</x:f>
        <x:v>5.2623440541253785</x:v>
      </x:c>
      <x:c r="R1146" s="73" t="str">
        <x:f>INDEX(TrackMap!$B$8:$B$141,H1146)</x:f>
        <x:v>发车大直道</x:v>
      </x:c>
    </x:row>
    <x:row r="1147" ht="20" customHeight="1">
      <x:c r="A1147" s="73" t="n">
        <x:v>189</x:v>
      </x:c>
      <x:c r="B1147" s="73" t="n">
        <x:v>6</x:v>
      </x:c>
      <x:c r="C1147" s="73" t="str">
        <x:f>INDEX(Drivers!$B$8:$B$13,B1147)</x:f>
        <x:v>玫速</x:v>
      </x:c>
      <x:c r="D1147" s="83" t="n">
        <x:f>G1141</x:f>
        <x:v>644.0766039889018</x:v>
      </x:c>
      <x:c r="E1147" s="83" t="str">
        <x:f>IF(A1147=0,"GRID",IF(D1147&gt;=Control!$B$17,"FINISHED",IF(AND(A1147&gt;=INDEX(Drivers!$G$8:$G$13,B1147),A1147&lt;INDEX(Drivers!$G$8:$G$13,B1147)+INDEX(Drivers!$J$8:$J$13,B1147)),"PIT",IF(MOD(A1147+INDEX(Drivers!$F$8:$F$13,B1147),Control!$B$11)&lt;Control!$B$13,"BOOST","RACE"))))</x:f>
        <x:v>RACE</x:v>
      </x:c>
      <x:c r="F1147" s="83" t="n">
        <x:f>IF(OR(E1147="GRID",E1147="FINISHED",E1147="PIT"),0,MAX(Control!$B$15,(INDEX(Drivers!$D$8:$D$13,B1147)+INDEX(Drivers!$E$8:$E$13,B1147)*SIN((A1147+INDEX(Drivers!$F$8:$F$13,B1147)+Control!$B$16)*Control!$B$14))*INDEX(TrackMap!$M$8:$M$141,MOD(INT(D1147)-1,Control!$B$7)+1)*IF(E1147="BOOST",Control!$B$12,1)))</x:f>
        <x:v>3.3215943533593433</x:v>
      </x:c>
      <x:c r="G1147" s="83" t="n">
        <x:f>IF(A1147=0,D1147,MIN(Control!$B$17,D1147+F1147))</x:f>
        <x:v>647.3981983422611</x:v>
      </x:c>
      <x:c r="H1147" s="73" t="n">
        <x:f>MOD(INT(G1147)-1,Control!$B$7)+1</x:f>
        <x:v>111</x:v>
      </x:c>
      <x:c r="I1147" s="73" t="n">
        <x:f>MIN(Control!$B$6,MAX(1,INT(MAX(0,G1147)/Control!$B$7)+1))</x:f>
        <x:v>5</x:v>
      </x:c>
      <x:c r="J1147" s="73" t="n">
        <x:f>INDEX(Drivers!$H$8:$H$13,B1147)</x:f>
        <x:v>2</x:v>
      </x:c>
      <x:c r="K1147" s="73" t="n">
        <x:f>IF(J1147=1,INDEX(TrackMap!$I$8:$I$141,H1147),INDEX(TrackMap!$L$8:$L$141,H1147))</x:f>
        <x:v>3040</x:v>
      </x:c>
      <x:c r="L1147" s="73" t="str">
        <x:f>INDEX(TrackMap!$F$8:$F$141,H1147)</x:f>
        <x:v>←</x:v>
      </x:c>
      <x:c r="M1147" s="87" t="n">
        <x:f>MAX(0,G1147/Control!$B$17)</x:f>
        <x:v>0.9662659676750166</x:v>
      </x:c>
      <x:c r="N1147" s="73" t="n">
        <x:f>IF(N1141&gt;0,N1141,IF(G1147&gt;=Control!$B$17,A1147,0))</x:f>
        <x:v>0</x:v>
      </x:c>
      <x:c r="O1147" s="91" t="n">
        <x:f>IF(N1147&gt;0,Control!$B$17+Control!$B$8+1-N1147,G1147)-B1147/100000</x:f>
        <x:v>647.3981383422612</x:v>
      </x:c>
      <x:c r="P1147" s="73" t="n">
        <x:f>COUNTIF($O$1142:$O$1147,"&gt;"&amp;O1147)+1</x:f>
        <x:v>4</x:v>
      </x:c>
      <x:c r="Q1147" s="83" t="n">
        <x:f>MAX($G$1142:$G$1147)-G1147</x:f>
        <x:v>5.356901143361824</x:v>
      </x:c>
      <x:c r="R1147" s="73" t="str">
        <x:f>INDEX(TrackMap!$B$8:$B$141,H1147)</x:f>
        <x:v>发车大直道</x:v>
      </x:c>
    </x:row>
    <x:row r="1148" ht="20" customHeight="1">
      <x:c r="A1148" s="73" t="n">
        <x:v>190</x:v>
      </x:c>
      <x:c r="B1148" s="73" t="n">
        <x:v>1</x:v>
      </x:c>
      <x:c r="C1148" s="73" t="str">
        <x:f>INDEX(Drivers!$B$8:$B$13,B1148)</x:f>
        <x:v>赤焰</x:v>
      </x:c>
      <x:c r="D1148" s="83" t="n">
        <x:f>G1142</x:f>
        <x:v>652.755099485623</x:v>
      </x:c>
      <x:c r="E1148" s="83" t="str">
        <x:f>IF(A1148=0,"GRID",IF(D1148&gt;=Control!$B$17,"FINISHED",IF(AND(A1148&gt;=INDEX(Drivers!$G$8:$G$13,B1148),A1148&lt;INDEX(Drivers!$G$8:$G$13,B1148)+INDEX(Drivers!$J$8:$J$13,B1148)),"PIT",IF(MOD(A1148+INDEX(Drivers!$F$8:$F$13,B1148),Control!$B$11)&lt;Control!$B$13,"BOOST","RACE"))))</x:f>
        <x:v>RACE</x:v>
      </x:c>
      <x:c r="F1148" s="83" t="n">
        <x:f>IF(OR(E1148="GRID",E1148="FINISHED",E1148="PIT"),0,MAX(Control!$B$15,(INDEX(Drivers!$D$8:$D$13,B1148)+INDEX(Drivers!$E$8:$E$13,B1148)*SIN((A1148+INDEX(Drivers!$F$8:$F$13,B1148)+Control!$B$16)*Control!$B$14))*INDEX(TrackMap!$M$8:$M$141,MOD(INT(D1148)-1,Control!$B$7)+1)*IF(E1148="BOOST",Control!$B$12,1)))</x:f>
        <x:v>3.694926859797931</x:v>
      </x:c>
      <x:c r="G1148" s="83" t="n">
        <x:f>IF(A1148=0,D1148,MIN(Control!$B$17,D1148+F1148))</x:f>
        <x:v>656.4500263454208</x:v>
      </x:c>
      <x:c r="H1148" s="73" t="n">
        <x:f>MOD(INT(G1148)-1,Control!$B$7)+1</x:f>
        <x:v>120</x:v>
      </x:c>
      <x:c r="I1148" s="73" t="n">
        <x:f>MIN(Control!$B$6,MAX(1,INT(MAX(0,G1148)/Control!$B$7)+1))</x:f>
        <x:v>5</x:v>
      </x:c>
      <x:c r="J1148" s="73" t="n">
        <x:f>INDEX(Drivers!$H$8:$H$13,B1148)</x:f>
        <x:v>1</x:v>
      </x:c>
      <x:c r="K1148" s="73" t="n">
        <x:f>IF(J1148=1,INDEX(TrackMap!$I$8:$I$141,H1148),INDEX(TrackMap!$L$8:$L$141,H1148))</x:f>
        <x:v>3131</x:v>
      </x:c>
      <x:c r="L1148" s="73" t="str">
        <x:f>INDEX(TrackMap!$F$8:$F$141,H1148)</x:f>
        <x:v>←</x:v>
      </x:c>
      <x:c r="M1148" s="87" t="n">
        <x:f>MAX(0,G1148/Control!$B$17)</x:f>
        <x:v>0.9797761587245087</x:v>
      </x:c>
      <x:c r="N1148" s="73" t="n">
        <x:f>IF(N1142&gt;0,N1142,IF(G1148&gt;=Control!$B$17,A1148,0))</x:f>
        <x:v>0</x:v>
      </x:c>
      <x:c r="O1148" s="91" t="n">
        <x:f>IF(N1148&gt;0,Control!$B$17+Control!$B$8+1-N1148,G1148)-B1148/100000</x:f>
        <x:v>656.4500163454209</x:v>
      </x:c>
      <x:c r="P1148" s="73" t="n">
        <x:f>COUNTIF($O$1148:$O$1153,"&gt;"&amp;O1148)+1</x:f>
        <x:v>1</x:v>
      </x:c>
      <x:c r="Q1148" s="83" t="n">
        <x:f>MAX($G$1148:$G$1153)-G1148</x:f>
        <x:v>0</x:v>
      </x:c>
      <x:c r="R1148" s="73" t="str">
        <x:f>INDEX(TrackMap!$B$8:$B$141,H1148)</x:f>
        <x:v>发车大直道</x:v>
      </x:c>
    </x:row>
    <x:row r="1149" ht="20" customHeight="1">
      <x:c r="A1149" s="73" t="n">
        <x:v>190</x:v>
      </x:c>
      <x:c r="B1149" s="73" t="n">
        <x:v>2</x:v>
      </x:c>
      <x:c r="C1149" s="73" t="str">
        <x:f>INDEX(Drivers!$B$8:$B$13,B1149)</x:f>
        <x:v>蓝电</x:v>
      </x:c>
      <x:c r="D1149" s="83" t="n">
        <x:f>G1143</x:f>
        <x:v>632.7981044720417</x:v>
      </x:c>
      <x:c r="E1149" s="83" t="str">
        <x:f>IF(A1149=0,"GRID",IF(D1149&gt;=Control!$B$17,"FINISHED",IF(AND(A1149&gt;=INDEX(Drivers!$G$8:$G$13,B1149),A1149&lt;INDEX(Drivers!$G$8:$G$13,B1149)+INDEX(Drivers!$J$8:$J$13,B1149)),"PIT",IF(MOD(A1149+INDEX(Drivers!$F$8:$F$13,B1149),Control!$B$11)&lt;Control!$B$13,"BOOST","RACE"))))</x:f>
        <x:v>RACE</x:v>
      </x:c>
      <x:c r="F1149" s="83" t="n">
        <x:f>IF(OR(E1149="GRID",E1149="FINISHED",E1149="PIT"),0,MAX(Control!$B$15,(INDEX(Drivers!$D$8:$D$13,B1149)+INDEX(Drivers!$E$8:$E$13,B1149)*SIN((A1149+INDEX(Drivers!$F$8:$F$13,B1149)+Control!$B$16)*Control!$B$14))*INDEX(TrackMap!$M$8:$M$141,MOD(INT(D1149)-1,Control!$B$7)+1)*IF(E1149="BOOST",Control!$B$12,1)))</x:f>
        <x:v>3.851633519249506</x:v>
      </x:c>
      <x:c r="G1149" s="83" t="n">
        <x:f>IF(A1149=0,D1149,MIN(Control!$B$17,D1149+F1149))</x:f>
        <x:v>636.6497379912912</x:v>
      </x:c>
      <x:c r="H1149" s="73" t="n">
        <x:f>MOD(INT(G1149)-1,Control!$B$7)+1</x:f>
        <x:v>100</x:v>
      </x:c>
      <x:c r="I1149" s="73" t="n">
        <x:f>MIN(Control!$B$6,MAX(1,INT(MAX(0,G1149)/Control!$B$7)+1))</x:f>
        <x:v>5</x:v>
      </x:c>
      <x:c r="J1149" s="73" t="n">
        <x:f>INDEX(Drivers!$H$8:$H$13,B1149)</x:f>
        <x:v>2</x:v>
      </x:c>
      <x:c r="K1149" s="73" t="n">
        <x:f>IF(J1149=1,INDEX(TrackMap!$I$8:$I$141,H1149),INDEX(TrackMap!$L$8:$L$141,H1149))</x:f>
        <x:v>2951</x:v>
      </x:c>
      <x:c r="L1149" s="73" t="str">
        <x:f>INDEX(TrackMap!$F$8:$F$141,H1149)</x:f>
        <x:v>↓</x:v>
      </x:c>
      <x:c r="M1149" s="87" t="n">
        <x:f>MAX(0,G1149/Control!$B$17)</x:f>
        <x:v>0.9502234895392406</x:v>
      </x:c>
      <x:c r="N1149" s="73" t="n">
        <x:f>IF(N1143&gt;0,N1143,IF(G1149&gt;=Control!$B$17,A1149,0))</x:f>
        <x:v>0</x:v>
      </x:c>
      <x:c r="O1149" s="91" t="n">
        <x:f>IF(N1149&gt;0,Control!$B$17+Control!$B$8+1-N1149,G1149)-B1149/100000</x:f>
        <x:v>636.6497179912913</x:v>
      </x:c>
      <x:c r="P1149" s="73" t="n">
        <x:f>COUNTIF($O$1148:$O$1153,"&gt;"&amp;O1149)+1</x:f>
        <x:v>6</x:v>
      </x:c>
      <x:c r="Q1149" s="83" t="n">
        <x:f>MAX($G$1148:$G$1153)-G1149</x:f>
        <x:v>19.800288354129634</x:v>
      </x:c>
      <x:c r="R1149" s="73" t="str">
        <x:f>INDEX(TrackMap!$B$8:$B$141,H1149)</x:f>
        <x:v>东侧长直道</x:v>
      </x:c>
    </x:row>
    <x:row r="1150" ht="20" customHeight="1">
      <x:c r="A1150" s="73" t="n">
        <x:v>190</x:v>
      </x:c>
      <x:c r="B1150" s="73" t="n">
        <x:v>3</x:v>
      </x:c>
      <x:c r="C1150" s="73" t="str">
        <x:f>INDEX(Drivers!$B$8:$B$13,B1150)</x:f>
        <x:v>金翼</x:v>
      </x:c>
      <x:c r="D1150" s="83" t="n">
        <x:f>G1144</x:f>
        <x:v>650.4135099335849</x:v>
      </x:c>
      <x:c r="E1150" s="83" t="str">
        <x:f>IF(A1150=0,"GRID",IF(D1150&gt;=Control!$B$17,"FINISHED",IF(AND(A1150&gt;=INDEX(Drivers!$G$8:$G$13,B1150),A1150&lt;INDEX(Drivers!$G$8:$G$13,B1150)+INDEX(Drivers!$J$8:$J$13,B1150)),"PIT",IF(MOD(A1150+INDEX(Drivers!$F$8:$F$13,B1150),Control!$B$11)&lt;Control!$B$13,"BOOST","RACE"))))</x:f>
        <x:v>RACE</x:v>
      </x:c>
      <x:c r="F1150" s="83" t="n">
        <x:f>IF(OR(E1150="GRID",E1150="FINISHED",E1150="PIT"),0,MAX(Control!$B$15,(INDEX(Drivers!$D$8:$D$13,B1150)+INDEX(Drivers!$E$8:$E$13,B1150)*SIN((A1150+INDEX(Drivers!$F$8:$F$13,B1150)+Control!$B$16)*Control!$B$14))*INDEX(TrackMap!$M$8:$M$141,MOD(INT(D1150)-1,Control!$B$7)+1)*IF(E1150="BOOST",Control!$B$12,1)))</x:f>
        <x:v>3.2735777024932693</x:v>
      </x:c>
      <x:c r="G1150" s="83" t="n">
        <x:f>IF(A1150=0,D1150,MIN(Control!$B$17,D1150+F1150))</x:f>
        <x:v>653.6870876360782</x:v>
      </x:c>
      <x:c r="H1150" s="73" t="n">
        <x:f>MOD(INT(G1150)-1,Control!$B$7)+1</x:f>
        <x:v>117</x:v>
      </x:c>
      <x:c r="I1150" s="73" t="n">
        <x:f>MIN(Control!$B$6,MAX(1,INT(MAX(0,G1150)/Control!$B$7)+1))</x:f>
        <x:v>5</x:v>
      </x:c>
      <x:c r="J1150" s="73" t="n">
        <x:f>INDEX(Drivers!$H$8:$H$13,B1150)</x:f>
        <x:v>1</x:v>
      </x:c>
      <x:c r="K1150" s="73" t="n">
        <x:f>IF(J1150=1,INDEX(TrackMap!$I$8:$I$141,H1150),INDEX(TrackMap!$L$8:$L$141,H1150))</x:f>
        <x:v>3134</x:v>
      </x:c>
      <x:c r="L1150" s="73" t="str">
        <x:f>INDEX(TrackMap!$F$8:$F$141,H1150)</x:f>
        <x:v>←</x:v>
      </x:c>
      <x:c r="M1150" s="87" t="n">
        <x:f>MAX(0,G1150/Control!$B$17)</x:f>
        <x:v>0.9756523696060869</x:v>
      </x:c>
      <x:c r="N1150" s="73" t="n">
        <x:f>IF(N1144&gt;0,N1144,IF(G1150&gt;=Control!$B$17,A1150,0))</x:f>
        <x:v>0</x:v>
      </x:c>
      <x:c r="O1150" s="91" t="n">
        <x:f>IF(N1150&gt;0,Control!$B$17+Control!$B$8+1-N1150,G1150)-B1150/100000</x:f>
        <x:v>653.6870576360782</x:v>
      </x:c>
      <x:c r="P1150" s="73" t="n">
        <x:f>COUNTIF($O$1148:$O$1153,"&gt;"&amp;O1150)+1</x:f>
        <x:v>2</x:v>
      </x:c>
      <x:c r="Q1150" s="83" t="n">
        <x:f>MAX($G$1148:$G$1153)-G1150</x:f>
        <x:v>2.7629387093426203</x:v>
      </x:c>
      <x:c r="R1150" s="73" t="str">
        <x:f>INDEX(TrackMap!$B$8:$B$141,H1150)</x:f>
        <x:v>发车大直道</x:v>
      </x:c>
    </x:row>
    <x:row r="1151" ht="20" customHeight="1">
      <x:c r="A1151" s="73" t="n">
        <x:v>190</x:v>
      </x:c>
      <x:c r="B1151" s="73" t="n">
        <x:v>4</x:v>
      </x:c>
      <x:c r="C1151" s="73" t="str">
        <x:f>INDEX(Drivers!$B$8:$B$13,B1151)</x:f>
        <x:v>紫影</x:v>
      </x:c>
      <x:c r="D1151" s="83" t="n">
        <x:f>G1145</x:f>
        <x:v>633.7037739058534</x:v>
      </x:c>
      <x:c r="E1151" s="83" t="str">
        <x:f>IF(A1151=0,"GRID",IF(D1151&gt;=Control!$B$17,"FINISHED",IF(AND(A1151&gt;=INDEX(Drivers!$G$8:$G$13,B1151),A1151&lt;INDEX(Drivers!$G$8:$G$13,B1151)+INDEX(Drivers!$J$8:$J$13,B1151)),"PIT",IF(MOD(A1151+INDEX(Drivers!$F$8:$F$13,B1151),Control!$B$11)&lt;Control!$B$13,"BOOST","RACE"))))</x:f>
        <x:v>RACE</x:v>
      </x:c>
      <x:c r="F1151" s="83" t="n">
        <x:f>IF(OR(E1151="GRID",E1151="FINISHED",E1151="PIT"),0,MAX(Control!$B$15,(INDEX(Drivers!$D$8:$D$13,B1151)+INDEX(Drivers!$E$8:$E$13,B1151)*SIN((A1151+INDEX(Drivers!$F$8:$F$13,B1151)+Control!$B$16)*Control!$B$14))*INDEX(TrackMap!$M$8:$M$141,MOD(INT(D1151)-1,Control!$B$7)+1)*IF(E1151="BOOST",Control!$B$12,1)))</x:f>
        <x:v>4.179998589603878</x:v>
      </x:c>
      <x:c r="G1151" s="83" t="n">
        <x:f>IF(A1151=0,D1151,MIN(Control!$B$17,D1151+F1151))</x:f>
        <x:v>637.8837724954573</x:v>
      </x:c>
      <x:c r="H1151" s="73" t="n">
        <x:f>MOD(INT(G1151)-1,Control!$B$7)+1</x:f>
        <x:v>101</x:v>
      </x:c>
      <x:c r="I1151" s="73" t="n">
        <x:f>MIN(Control!$B$6,MAX(1,INT(MAX(0,G1151)/Control!$B$7)+1))</x:f>
        <x:v>5</x:v>
      </x:c>
      <x:c r="J1151" s="73" t="n">
        <x:f>INDEX(Drivers!$H$8:$H$13,B1151)</x:f>
        <x:v>2</x:v>
      </x:c>
      <x:c r="K1151" s="73" t="n">
        <x:f>IF(J1151=1,INDEX(TrackMap!$I$8:$I$141,H1151),INDEX(TrackMap!$L$8:$L$141,H1151))</x:f>
        <x:v>3050</x:v>
      </x:c>
      <x:c r="L1151" s="73" t="str">
        <x:f>INDEX(TrackMap!$F$8:$F$141,H1151)</x:f>
        <x:v>←</x:v>
      </x:c>
      <x:c r="M1151" s="87" t="n">
        <x:f>MAX(0,G1151/Control!$B$17)</x:f>
        <x:v>0.952065332082772</x:v>
      </x:c>
      <x:c r="N1151" s="73" t="n">
        <x:f>IF(N1145&gt;0,N1145,IF(G1151&gt;=Control!$B$17,A1151,0))</x:f>
        <x:v>0</x:v>
      </x:c>
      <x:c r="O1151" s="91" t="n">
        <x:f>IF(N1151&gt;0,Control!$B$17+Control!$B$8+1-N1151,G1151)-B1151/100000</x:f>
        <x:v>637.8837324954573</x:v>
      </x:c>
      <x:c r="P1151" s="73" t="n">
        <x:f>COUNTIF($O$1148:$O$1153,"&gt;"&amp;O1151)+1</x:f>
        <x:v>5</x:v>
      </x:c>
      <x:c r="Q1151" s="83" t="n">
        <x:f>MAX($G$1148:$G$1153)-G1151</x:f>
        <x:v>18.566253849963573</x:v>
      </x:c>
      <x:c r="R1151" s="73" t="str">
        <x:f>INDEX(TrackMap!$B$8:$B$141,H1151)</x:f>
        <x:v>发车大直道</x:v>
      </x:c>
    </x:row>
    <x:row r="1152" ht="20" customHeight="1">
      <x:c r="A1152" s="73" t="n">
        <x:v>190</x:v>
      </x:c>
      <x:c r="B1152" s="73" t="n">
        <x:v>5</x:v>
      </x:c>
      <x:c r="C1152" s="73" t="str">
        <x:f>INDEX(Drivers!$B$8:$B$13,B1152)</x:f>
        <x:v>青锋</x:v>
      </x:c>
      <x:c r="D1152" s="83" t="n">
        <x:f>G1146</x:f>
        <x:v>647.4927554314976</x:v>
      </x:c>
      <x:c r="E1152" s="83" t="str">
        <x:f>IF(A1152=0,"GRID",IF(D1152&gt;=Control!$B$17,"FINISHED",IF(AND(A1152&gt;=INDEX(Drivers!$G$8:$G$13,B1152),A1152&lt;INDEX(Drivers!$G$8:$G$13,B1152)+INDEX(Drivers!$J$8:$J$13,B1152)),"PIT",IF(MOD(A1152+INDEX(Drivers!$F$8:$F$13,B1152),Control!$B$11)&lt;Control!$B$13,"BOOST","RACE"))))</x:f>
        <x:v>RACE</x:v>
      </x:c>
      <x:c r="F1152" s="83" t="n">
        <x:f>IF(OR(E1152="GRID",E1152="FINISHED",E1152="PIT"),0,MAX(Control!$B$15,(INDEX(Drivers!$D$8:$D$13,B1152)+INDEX(Drivers!$E$8:$E$13,B1152)*SIN((A1152+INDEX(Drivers!$F$8:$F$13,B1152)+Control!$B$16)*Control!$B$14))*INDEX(TrackMap!$M$8:$M$141,MOD(INT(D1152)-1,Control!$B$7)+1)*IF(E1152="BOOST",Control!$B$12,1)))</x:f>
        <x:v>4.149978846378683</x:v>
      </x:c>
      <x:c r="G1152" s="83" t="n">
        <x:f>IF(A1152=0,D1152,MIN(Control!$B$17,D1152+F1152))</x:f>
        <x:v>651.6427342778762</x:v>
      </x:c>
      <x:c r="H1152" s="73" t="n">
        <x:f>MOD(INT(G1152)-1,Control!$B$7)+1</x:f>
        <x:v>115</x:v>
      </x:c>
      <x:c r="I1152" s="73" t="n">
        <x:f>MIN(Control!$B$6,MAX(1,INT(MAX(0,G1152)/Control!$B$7)+1))</x:f>
        <x:v>5</x:v>
      </x:c>
      <x:c r="J1152" s="73" t="n">
        <x:f>INDEX(Drivers!$H$8:$H$13,B1152)</x:f>
        <x:v>1</x:v>
      </x:c>
      <x:c r="K1152" s="73" t="n">
        <x:f>IF(J1152=1,INDEX(TrackMap!$I$8:$I$141,H1152),INDEX(TrackMap!$L$8:$L$141,H1152))</x:f>
        <x:v>3136</x:v>
      </x:c>
      <x:c r="L1152" s="73" t="str">
        <x:f>INDEX(TrackMap!$F$8:$F$141,H1152)</x:f>
        <x:v>←</x:v>
      </x:c>
      <x:c r="M1152" s="87" t="n">
        <x:f>MAX(0,G1152/Control!$B$17)</x:f>
        <x:v>0.9726010959371287</x:v>
      </x:c>
      <x:c r="N1152" s="73" t="n">
        <x:f>IF(N1146&gt;0,N1146,IF(G1152&gt;=Control!$B$17,A1152,0))</x:f>
        <x:v>0</x:v>
      </x:c>
      <x:c r="O1152" s="91" t="n">
        <x:f>IF(N1152&gt;0,Control!$B$17+Control!$B$8+1-N1152,G1152)-B1152/100000</x:f>
        <x:v>651.6426842778762</x:v>
      </x:c>
      <x:c r="P1152" s="73" t="n">
        <x:f>COUNTIF($O$1148:$O$1153,"&gt;"&amp;O1152)+1</x:f>
        <x:v>3</x:v>
      </x:c>
      <x:c r="Q1152" s="83" t="n">
        <x:f>MAX($G$1148:$G$1153)-G1152</x:f>
        <x:v>4.8072920675446085</x:v>
      </x:c>
      <x:c r="R1152" s="73" t="str">
        <x:f>INDEX(TrackMap!$B$8:$B$141,H1152)</x:f>
        <x:v>发车大直道</x:v>
      </x:c>
    </x:row>
    <x:row r="1153" ht="20" customHeight="1">
      <x:c r="A1153" s="73" t="n">
        <x:v>190</x:v>
      </x:c>
      <x:c r="B1153" s="73" t="n">
        <x:v>6</x:v>
      </x:c>
      <x:c r="C1153" s="73" t="str">
        <x:f>INDEX(Drivers!$B$8:$B$13,B1153)</x:f>
        <x:v>玫速</x:v>
      </x:c>
      <x:c r="D1153" s="83" t="n">
        <x:f>G1147</x:f>
        <x:v>647.3981983422611</x:v>
      </x:c>
      <x:c r="E1153" s="83" t="str">
        <x:f>IF(A1153=0,"GRID",IF(D1153&gt;=Control!$B$17,"FINISHED",IF(AND(A1153&gt;=INDEX(Drivers!$G$8:$G$13,B1153),A1153&lt;INDEX(Drivers!$G$8:$G$13,B1153)+INDEX(Drivers!$J$8:$J$13,B1153)),"PIT",IF(MOD(A1153+INDEX(Drivers!$F$8:$F$13,B1153),Control!$B$11)&lt;Control!$B$13,"BOOST","RACE"))))</x:f>
        <x:v>RACE</x:v>
      </x:c>
      <x:c r="F1153" s="83" t="n">
        <x:f>IF(OR(E1153="GRID",E1153="FINISHED",E1153="PIT"),0,MAX(Control!$B$15,(INDEX(Drivers!$D$8:$D$13,B1153)+INDEX(Drivers!$E$8:$E$13,B1153)*SIN((A1153+INDEX(Drivers!$F$8:$F$13,B1153)+Control!$B$16)*Control!$B$14))*INDEX(TrackMap!$M$8:$M$141,MOD(INT(D1153)-1,Control!$B$7)+1)*IF(E1153="BOOST",Control!$B$12,1)))</x:f>
        <x:v>3.1718422927934085</x:v>
      </x:c>
      <x:c r="G1153" s="83" t="n">
        <x:f>IF(A1153=0,D1153,MIN(Control!$B$17,D1153+F1153))</x:f>
        <x:v>650.5700406350545</x:v>
      </x:c>
      <x:c r="H1153" s="73" t="n">
        <x:f>MOD(INT(G1153)-1,Control!$B$7)+1</x:f>
        <x:v>114</x:v>
      </x:c>
      <x:c r="I1153" s="73" t="n">
        <x:f>MIN(Control!$B$6,MAX(1,INT(MAX(0,G1153)/Control!$B$7)+1))</x:f>
        <x:v>5</x:v>
      </x:c>
      <x:c r="J1153" s="73" t="n">
        <x:f>INDEX(Drivers!$H$8:$H$13,B1153)</x:f>
        <x:v>2</x:v>
      </x:c>
      <x:c r="K1153" s="73" t="n">
        <x:f>IF(J1153=1,INDEX(TrackMap!$I$8:$I$141,H1153),INDEX(TrackMap!$L$8:$L$141,H1153))</x:f>
        <x:v>3037</x:v>
      </x:c>
      <x:c r="L1153" s="73" t="str">
        <x:f>INDEX(TrackMap!$F$8:$F$141,H1153)</x:f>
        <x:v>←</x:v>
      </x:c>
      <x:c r="M1153" s="87" t="n">
        <x:f>MAX(0,G1153/Control!$B$17)</x:f>
        <x:v>0.9710000606493351</x:v>
      </x:c>
      <x:c r="N1153" s="73" t="n">
        <x:f>IF(N1147&gt;0,N1147,IF(G1153&gt;=Control!$B$17,A1153,0))</x:f>
        <x:v>0</x:v>
      </x:c>
      <x:c r="O1153" s="91" t="n">
        <x:f>IF(N1153&gt;0,Control!$B$17+Control!$B$8+1-N1153,G1153)-B1153/100000</x:f>
        <x:v>650.5699806350545</x:v>
      </x:c>
      <x:c r="P1153" s="73" t="n">
        <x:f>COUNTIF($O$1148:$O$1153,"&gt;"&amp;O1153)+1</x:f>
        <x:v>4</x:v>
      </x:c>
      <x:c r="Q1153" s="83" t="n">
        <x:f>MAX($G$1148:$G$1153)-G1153</x:f>
        <x:v>5.879985710366327</x:v>
      </x:c>
      <x:c r="R1153" s="73" t="str">
        <x:f>INDEX(TrackMap!$B$8:$B$141,H1153)</x:f>
        <x:v>发车大直道</x:v>
      </x:c>
    </x:row>
    <x:row r="1154" ht="20" customHeight="1">
      <x:c r="A1154" s="73" t="n">
        <x:v>191</x:v>
      </x:c>
      <x:c r="B1154" s="73" t="n">
        <x:v>1</x:v>
      </x:c>
      <x:c r="C1154" s="73" t="str">
        <x:f>INDEX(Drivers!$B$8:$B$13,B1154)</x:f>
        <x:v>赤焰</x:v>
      </x:c>
      <x:c r="D1154" s="83" t="n">
        <x:f>G1148</x:f>
        <x:v>656.4500263454208</x:v>
      </x:c>
      <x:c r="E1154" s="83" t="str">
        <x:f>IF(A1154=0,"GRID",IF(D1154&gt;=Control!$B$17,"FINISHED",IF(AND(A1154&gt;=INDEX(Drivers!$G$8:$G$13,B1154),A1154&lt;INDEX(Drivers!$G$8:$G$13,B1154)+INDEX(Drivers!$J$8:$J$13,B1154)),"PIT",IF(MOD(A1154+INDEX(Drivers!$F$8:$F$13,B1154),Control!$B$11)&lt;Control!$B$13,"BOOST","RACE"))))</x:f>
        <x:v>RACE</x:v>
      </x:c>
      <x:c r="F1154" s="83" t="n">
        <x:f>IF(OR(E1154="GRID",E1154="FINISHED",E1154="PIT"),0,MAX(Control!$B$15,(INDEX(Drivers!$D$8:$D$13,B1154)+INDEX(Drivers!$E$8:$E$13,B1154)*SIN((A1154+INDEX(Drivers!$F$8:$F$13,B1154)+Control!$B$16)*Control!$B$14))*INDEX(TrackMap!$M$8:$M$141,MOD(INT(D1154)-1,Control!$B$7)+1)*IF(E1154="BOOST",Control!$B$12,1)))</x:f>
        <x:v>3.8901103780368946</x:v>
      </x:c>
      <x:c r="G1154" s="83" t="n">
        <x:f>IF(A1154=0,D1154,MIN(Control!$B$17,D1154+F1154))</x:f>
        <x:v>660.3401367234577</x:v>
      </x:c>
      <x:c r="H1154" s="73" t="n">
        <x:f>MOD(INT(G1154)-1,Control!$B$7)+1</x:f>
        <x:v>124</x:v>
      </x:c>
      <x:c r="I1154" s="73" t="n">
        <x:f>MIN(Control!$B$6,MAX(1,INT(MAX(0,G1154)/Control!$B$7)+1))</x:f>
        <x:v>5</x:v>
      </x:c>
      <x:c r="J1154" s="73" t="n">
        <x:f>INDEX(Drivers!$H$8:$H$13,B1154)</x:f>
        <x:v>1</x:v>
      </x:c>
      <x:c r="K1154" s="73" t="n">
        <x:f>IF(J1154=1,INDEX(TrackMap!$I$8:$I$141,H1154),INDEX(TrackMap!$L$8:$L$141,H1154))</x:f>
        <x:v>3127</x:v>
      </x:c>
      <x:c r="L1154" s="73" t="str">
        <x:f>INDEX(TrackMap!$F$8:$F$141,H1154)</x:f>
        <x:v>←</x:v>
      </x:c>
      <x:c r="M1154" s="87" t="n">
        <x:f>MAX(0,G1154/Control!$B$17)</x:f>
        <x:v>0.985582293617101</x:v>
      </x:c>
      <x:c r="N1154" s="73" t="n">
        <x:f>IF(N1148&gt;0,N1148,IF(G1154&gt;=Control!$B$17,A1154,0))</x:f>
        <x:v>0</x:v>
      </x:c>
      <x:c r="O1154" s="91" t="n">
        <x:f>IF(N1154&gt;0,Control!$B$17+Control!$B$8+1-N1154,G1154)-B1154/100000</x:f>
        <x:v>660.3401267234577</x:v>
      </x:c>
      <x:c r="P1154" s="73" t="n">
        <x:f>COUNTIF($O$1154:$O$1159,"&gt;"&amp;O1154)+1</x:f>
        <x:v>1</x:v>
      </x:c>
      <x:c r="Q1154" s="83" t="n">
        <x:f>MAX($G$1154:$G$1159)-G1154</x:f>
        <x:v>0</x:v>
      </x:c>
      <x:c r="R1154" s="73" t="str">
        <x:f>INDEX(TrackMap!$B$8:$B$141,H1154)</x:f>
        <x:v>发车大直道</x:v>
      </x:c>
    </x:row>
    <x:row r="1155" ht="20" customHeight="1">
      <x:c r="A1155" s="73" t="n">
        <x:v>191</x:v>
      </x:c>
      <x:c r="B1155" s="73" t="n">
        <x:v>2</x:v>
      </x:c>
      <x:c r="C1155" s="73" t="str">
        <x:f>INDEX(Drivers!$B$8:$B$13,B1155)</x:f>
        <x:v>蓝电</x:v>
      </x:c>
      <x:c r="D1155" s="83" t="n">
        <x:f>G1149</x:f>
        <x:v>636.6497379912912</x:v>
      </x:c>
      <x:c r="E1155" s="83" t="str">
        <x:f>IF(A1155=0,"GRID",IF(D1155&gt;=Control!$B$17,"FINISHED",IF(AND(A1155&gt;=INDEX(Drivers!$G$8:$G$13,B1155),A1155&lt;INDEX(Drivers!$G$8:$G$13,B1155)+INDEX(Drivers!$J$8:$J$13,B1155)),"PIT",IF(MOD(A1155+INDEX(Drivers!$F$8:$F$13,B1155),Control!$B$11)&lt;Control!$B$13,"BOOST","RACE"))))</x:f>
        <x:v>RACE</x:v>
      </x:c>
      <x:c r="F1155" s="83" t="n">
        <x:f>IF(OR(E1155="GRID",E1155="FINISHED",E1155="PIT"),0,MAX(Control!$B$15,(INDEX(Drivers!$D$8:$D$13,B1155)+INDEX(Drivers!$E$8:$E$13,B1155)*SIN((A1155+INDEX(Drivers!$F$8:$F$13,B1155)+Control!$B$16)*Control!$B$14))*INDEX(TrackMap!$M$8:$M$141,MOD(INT(D1155)-1,Control!$B$7)+1)*IF(E1155="BOOST",Control!$B$12,1)))</x:f>
        <x:v>2.839036514610765</x:v>
      </x:c>
      <x:c r="G1155" s="83" t="n">
        <x:f>IF(A1155=0,D1155,MIN(Control!$B$17,D1155+F1155))</x:f>
        <x:v>639.4887745059019</x:v>
      </x:c>
      <x:c r="H1155" s="73" t="n">
        <x:f>MOD(INT(G1155)-1,Control!$B$7)+1</x:f>
        <x:v>103</x:v>
      </x:c>
      <x:c r="I1155" s="73" t="n">
        <x:f>MIN(Control!$B$6,MAX(1,INT(MAX(0,G1155)/Control!$B$7)+1))</x:f>
        <x:v>5</x:v>
      </x:c>
      <x:c r="J1155" s="73" t="n">
        <x:f>INDEX(Drivers!$H$8:$H$13,B1155)</x:f>
        <x:v>2</x:v>
      </x:c>
      <x:c r="K1155" s="73" t="n">
        <x:f>IF(J1155=1,INDEX(TrackMap!$I$8:$I$141,H1155),INDEX(TrackMap!$L$8:$L$141,H1155))</x:f>
        <x:v>3048</x:v>
      </x:c>
      <x:c r="L1155" s="73" t="str">
        <x:f>INDEX(TrackMap!$F$8:$F$141,H1155)</x:f>
        <x:v>←</x:v>
      </x:c>
      <x:c r="M1155" s="87" t="n">
        <x:f>MAX(0,G1155/Control!$B$17)</x:f>
        <x:v>0.9544608574714954</x:v>
      </x:c>
      <x:c r="N1155" s="73" t="n">
        <x:f>IF(N1149&gt;0,N1149,IF(G1155&gt;=Control!$B$17,A1155,0))</x:f>
        <x:v>0</x:v>
      </x:c>
      <x:c r="O1155" s="91" t="n">
        <x:f>IF(N1155&gt;0,Control!$B$17+Control!$B$8+1-N1155,G1155)-B1155/100000</x:f>
        <x:v>639.488754505902</x:v>
      </x:c>
      <x:c r="P1155" s="73" t="n">
        <x:f>COUNTIF($O$1154:$O$1159,"&gt;"&amp;O1155)+1</x:f>
        <x:v>6</x:v>
      </x:c>
      <x:c r="Q1155" s="83" t="n">
        <x:f>MAX($G$1154:$G$1159)-G1155</x:f>
        <x:v>20.85136221755579</x:v>
      </x:c>
      <x:c r="R1155" s="73" t="str">
        <x:f>INDEX(TrackMap!$B$8:$B$141,H1155)</x:f>
        <x:v>发车大直道</x:v>
      </x:c>
    </x:row>
    <x:row r="1156" ht="20" customHeight="1">
      <x:c r="A1156" s="73" t="n">
        <x:v>191</x:v>
      </x:c>
      <x:c r="B1156" s="73" t="n">
        <x:v>3</x:v>
      </x:c>
      <x:c r="C1156" s="73" t="str">
        <x:f>INDEX(Drivers!$B$8:$B$13,B1156)</x:f>
        <x:v>金翼</x:v>
      </x:c>
      <x:c r="D1156" s="83" t="n">
        <x:f>G1150</x:f>
        <x:v>653.6870876360782</x:v>
      </x:c>
      <x:c r="E1156" s="83" t="str">
        <x:f>IF(A1156=0,"GRID",IF(D1156&gt;=Control!$B$17,"FINISHED",IF(AND(A1156&gt;=INDEX(Drivers!$G$8:$G$13,B1156),A1156&lt;INDEX(Drivers!$G$8:$G$13,B1156)+INDEX(Drivers!$J$8:$J$13,B1156)),"PIT",IF(MOD(A1156+INDEX(Drivers!$F$8:$F$13,B1156),Control!$B$11)&lt;Control!$B$13,"BOOST","RACE"))))</x:f>
        <x:v>RACE</x:v>
      </x:c>
      <x:c r="F1156" s="83" t="n">
        <x:f>IF(OR(E1156="GRID",E1156="FINISHED",E1156="PIT"),0,MAX(Control!$B$15,(INDEX(Drivers!$D$8:$D$13,B1156)+INDEX(Drivers!$E$8:$E$13,B1156)*SIN((A1156+INDEX(Drivers!$F$8:$F$13,B1156)+Control!$B$16)*Control!$B$14))*INDEX(TrackMap!$M$8:$M$141,MOD(INT(D1156)-1,Control!$B$7)+1)*IF(E1156="BOOST",Control!$B$12,1)))</x:f>
        <x:v>3.396846259297947</x:v>
      </x:c>
      <x:c r="G1156" s="83" t="n">
        <x:f>IF(A1156=0,D1156,MIN(Control!$B$17,D1156+F1156))</x:f>
        <x:v>657.0839338953762</x:v>
      </x:c>
      <x:c r="H1156" s="73" t="n">
        <x:f>MOD(INT(G1156)-1,Control!$B$7)+1</x:f>
        <x:v>121</x:v>
      </x:c>
      <x:c r="I1156" s="73" t="n">
        <x:f>MIN(Control!$B$6,MAX(1,INT(MAX(0,G1156)/Control!$B$7)+1))</x:f>
        <x:v>5</x:v>
      </x:c>
      <x:c r="J1156" s="73" t="n">
        <x:f>INDEX(Drivers!$H$8:$H$13,B1156)</x:f>
        <x:v>1</x:v>
      </x:c>
      <x:c r="K1156" s="73" t="n">
        <x:f>IF(J1156=1,INDEX(TrackMap!$I$8:$I$141,H1156),INDEX(TrackMap!$L$8:$L$141,H1156))</x:f>
        <x:v>3130</x:v>
      </x:c>
      <x:c r="L1156" s="73" t="str">
        <x:f>INDEX(TrackMap!$F$8:$F$141,H1156)</x:f>
        <x:v>←</x:v>
      </x:c>
      <x:c r="M1156" s="87" t="n">
        <x:f>MAX(0,G1156/Control!$B$17)</x:f>
        <x:v>0.9807222893960839</x:v>
      </x:c>
      <x:c r="N1156" s="73" t="n">
        <x:f>IF(N1150&gt;0,N1150,IF(G1156&gt;=Control!$B$17,A1156,0))</x:f>
        <x:v>0</x:v>
      </x:c>
      <x:c r="O1156" s="91" t="n">
        <x:f>IF(N1156&gt;0,Control!$B$17+Control!$B$8+1-N1156,G1156)-B1156/100000</x:f>
        <x:v>657.0839038953761</x:v>
      </x:c>
      <x:c r="P1156" s="73" t="n">
        <x:f>COUNTIF($O$1154:$O$1159,"&gt;"&amp;O1156)+1</x:f>
        <x:v>2</x:v>
      </x:c>
      <x:c r="Q1156" s="83" t="n">
        <x:f>MAX($G$1154:$G$1159)-G1156</x:f>
        <x:v>3.256202828081541</x:v>
      </x:c>
      <x:c r="R1156" s="73" t="str">
        <x:f>INDEX(TrackMap!$B$8:$B$141,H1156)</x:f>
        <x:v>发车大直道</x:v>
      </x:c>
    </x:row>
    <x:row r="1157" ht="20" customHeight="1">
      <x:c r="A1157" s="73" t="n">
        <x:v>191</x:v>
      </x:c>
      <x:c r="B1157" s="73" t="n">
        <x:v>4</x:v>
      </x:c>
      <x:c r="C1157" s="73" t="str">
        <x:f>INDEX(Drivers!$B$8:$B$13,B1157)</x:f>
        <x:v>紫影</x:v>
      </x:c>
      <x:c r="D1157" s="83" t="n">
        <x:f>G1151</x:f>
        <x:v>637.8837724954573</x:v>
      </x:c>
      <x:c r="E1157" s="83" t="str">
        <x:f>IF(A1157=0,"GRID",IF(D1157&gt;=Control!$B$17,"FINISHED",IF(AND(A1157&gt;=INDEX(Drivers!$G$8:$G$13,B1157),A1157&lt;INDEX(Drivers!$G$8:$G$13,B1157)+INDEX(Drivers!$J$8:$J$13,B1157)),"PIT",IF(MOD(A1157+INDEX(Drivers!$F$8:$F$13,B1157),Control!$B$11)&lt;Control!$B$13,"BOOST","RACE"))))</x:f>
        <x:v>RACE</x:v>
      </x:c>
      <x:c r="F1157" s="83" t="n">
        <x:f>IF(OR(E1157="GRID",E1157="FINISHED",E1157="PIT"),0,MAX(Control!$B$15,(INDEX(Drivers!$D$8:$D$13,B1157)+INDEX(Drivers!$E$8:$E$13,B1157)*SIN((A1157+INDEX(Drivers!$F$8:$F$13,B1157)+Control!$B$16)*Control!$B$14))*INDEX(TrackMap!$M$8:$M$141,MOD(INT(D1157)-1,Control!$B$7)+1)*IF(E1157="BOOST",Control!$B$12,1)))</x:f>
        <x:v>3.2301446441508164</x:v>
      </x:c>
      <x:c r="G1157" s="83" t="n">
        <x:f>IF(A1157=0,D1157,MIN(Control!$B$17,D1157+F1157))</x:f>
        <x:v>641.1139171396081</x:v>
      </x:c>
      <x:c r="H1157" s="73" t="n">
        <x:f>MOD(INT(G1157)-1,Control!$B$7)+1</x:f>
        <x:v>105</x:v>
      </x:c>
      <x:c r="I1157" s="73" t="n">
        <x:f>MIN(Control!$B$6,MAX(1,INT(MAX(0,G1157)/Control!$B$7)+1))</x:f>
        <x:v>5</x:v>
      </x:c>
      <x:c r="J1157" s="73" t="n">
        <x:f>INDEX(Drivers!$H$8:$H$13,B1157)</x:f>
        <x:v>2</x:v>
      </x:c>
      <x:c r="K1157" s="73" t="n">
        <x:f>IF(J1157=1,INDEX(TrackMap!$I$8:$I$141,H1157),INDEX(TrackMap!$L$8:$L$141,H1157))</x:f>
        <x:v>3046</x:v>
      </x:c>
      <x:c r="L1157" s="73" t="str">
        <x:f>INDEX(TrackMap!$F$8:$F$141,H1157)</x:f>
        <x:v>←</x:v>
      </x:c>
      <x:c r="M1157" s="87" t="n">
        <x:f>MAX(0,G1157/Control!$B$17)</x:f>
        <x:v>0.9568864434919524</x:v>
      </x:c>
      <x:c r="N1157" s="73" t="n">
        <x:f>IF(N1151&gt;0,N1151,IF(G1157&gt;=Control!$B$17,A1157,0))</x:f>
        <x:v>0</x:v>
      </x:c>
      <x:c r="O1157" s="91" t="n">
        <x:f>IF(N1157&gt;0,Control!$B$17+Control!$B$8+1-N1157,G1157)-B1157/100000</x:f>
        <x:v>641.1138771396081</x:v>
      </x:c>
      <x:c r="P1157" s="73" t="n">
        <x:f>COUNTIF($O$1154:$O$1159,"&gt;"&amp;O1157)+1</x:f>
        <x:v>5</x:v>
      </x:c>
      <x:c r="Q1157" s="83" t="n">
        <x:f>MAX($G$1154:$G$1159)-G1157</x:f>
        <x:v>19.22621958384957</x:v>
      </x:c>
      <x:c r="R1157" s="73" t="str">
        <x:f>INDEX(TrackMap!$B$8:$B$141,H1157)</x:f>
        <x:v>发车大直道</x:v>
      </x:c>
    </x:row>
    <x:row r="1158" ht="20" customHeight="1">
      <x:c r="A1158" s="73" t="n">
        <x:v>191</x:v>
      </x:c>
      <x:c r="B1158" s="73" t="n">
        <x:v>5</x:v>
      </x:c>
      <x:c r="C1158" s="73" t="str">
        <x:f>INDEX(Drivers!$B$8:$B$13,B1158)</x:f>
        <x:v>青锋</x:v>
      </x:c>
      <x:c r="D1158" s="83" t="n">
        <x:f>G1152</x:f>
        <x:v>651.6427342778762</x:v>
      </x:c>
      <x:c r="E1158" s="83" t="str">
        <x:f>IF(A1158=0,"GRID",IF(D1158&gt;=Control!$B$17,"FINISHED",IF(AND(A1158&gt;=INDEX(Drivers!$G$8:$G$13,B1158),A1158&lt;INDEX(Drivers!$G$8:$G$13,B1158)+INDEX(Drivers!$J$8:$J$13,B1158)),"PIT",IF(MOD(A1158+INDEX(Drivers!$F$8:$F$13,B1158),Control!$B$11)&lt;Control!$B$13,"BOOST","RACE"))))</x:f>
        <x:v>RACE</x:v>
      </x:c>
      <x:c r="F1158" s="83" t="n">
        <x:f>IF(OR(E1158="GRID",E1158="FINISHED",E1158="PIT"),0,MAX(Control!$B$15,(INDEX(Drivers!$D$8:$D$13,B1158)+INDEX(Drivers!$E$8:$E$13,B1158)*SIN((A1158+INDEX(Drivers!$F$8:$F$13,B1158)+Control!$B$16)*Control!$B$14))*INDEX(TrackMap!$M$8:$M$141,MOD(INT(D1158)-1,Control!$B$7)+1)*IF(E1158="BOOST",Control!$B$12,1)))</x:f>
        <x:v>4.1164865980732</x:v>
      </x:c>
      <x:c r="G1158" s="83" t="n">
        <x:f>IF(A1158=0,D1158,MIN(Control!$B$17,D1158+F1158))</x:f>
        <x:v>655.7592208759494</x:v>
      </x:c>
      <x:c r="H1158" s="73" t="n">
        <x:f>MOD(INT(G1158)-1,Control!$B$7)+1</x:f>
        <x:v>119</x:v>
      </x:c>
      <x:c r="I1158" s="73" t="n">
        <x:f>MIN(Control!$B$6,MAX(1,INT(MAX(0,G1158)/Control!$B$7)+1))</x:f>
        <x:v>5</x:v>
      </x:c>
      <x:c r="J1158" s="73" t="n">
        <x:f>INDEX(Drivers!$H$8:$H$13,B1158)</x:f>
        <x:v>1</x:v>
      </x:c>
      <x:c r="K1158" s="73" t="n">
        <x:f>IF(J1158=1,INDEX(TrackMap!$I$8:$I$141,H1158),INDEX(TrackMap!$L$8:$L$141,H1158))</x:f>
        <x:v>3132</x:v>
      </x:c>
      <x:c r="L1158" s="73" t="str">
        <x:f>INDEX(TrackMap!$F$8:$F$141,H1158)</x:f>
        <x:v>←</x:v>
      </x:c>
      <x:c r="M1158" s="87" t="n">
        <x:f>MAX(0,G1158/Control!$B$17)</x:f>
        <x:v>0.9787451057849991</x:v>
      </x:c>
      <x:c r="N1158" s="73" t="n">
        <x:f>IF(N1152&gt;0,N1152,IF(G1158&gt;=Control!$B$17,A1158,0))</x:f>
        <x:v>0</x:v>
      </x:c>
      <x:c r="O1158" s="91" t="n">
        <x:f>IF(N1158&gt;0,Control!$B$17+Control!$B$8+1-N1158,G1158)-B1158/100000</x:f>
        <x:v>655.7591708759494</x:v>
      </x:c>
      <x:c r="P1158" s="73" t="n">
        <x:f>COUNTIF($O$1154:$O$1159,"&gt;"&amp;O1158)+1</x:f>
        <x:v>3</x:v>
      </x:c>
      <x:c r="Q1158" s="83" t="n">
        <x:f>MAX($G$1154:$G$1159)-G1158</x:f>
        <x:v>4.580915847508322</x:v>
      </x:c>
      <x:c r="R1158" s="73" t="str">
        <x:f>INDEX(TrackMap!$B$8:$B$141,H1158)</x:f>
        <x:v>发车大直道</x:v>
      </x:c>
    </x:row>
    <x:row r="1159" ht="20" customHeight="1">
      <x:c r="A1159" s="73" t="n">
        <x:v>191</x:v>
      </x:c>
      <x:c r="B1159" s="73" t="n">
        <x:v>6</x:v>
      </x:c>
      <x:c r="C1159" s="73" t="str">
        <x:f>INDEX(Drivers!$B$8:$B$13,B1159)</x:f>
        <x:v>玫速</x:v>
      </x:c>
      <x:c r="D1159" s="83" t="n">
        <x:f>G1153</x:f>
        <x:v>650.5700406350545</x:v>
      </x:c>
      <x:c r="E1159" s="83" t="str">
        <x:f>IF(A1159=0,"GRID",IF(D1159&gt;=Control!$B$17,"FINISHED",IF(AND(A1159&gt;=INDEX(Drivers!$G$8:$G$13,B1159),A1159&lt;INDEX(Drivers!$G$8:$G$13,B1159)+INDEX(Drivers!$J$8:$J$13,B1159)),"PIT",IF(MOD(A1159+INDEX(Drivers!$F$8:$F$13,B1159),Control!$B$11)&lt;Control!$B$13,"BOOST","RACE"))))</x:f>
        <x:v>RACE</x:v>
      </x:c>
      <x:c r="F1159" s="83" t="n">
        <x:f>IF(OR(E1159="GRID",E1159="FINISHED",E1159="PIT"),0,MAX(Control!$B$15,(INDEX(Drivers!$D$8:$D$13,B1159)+INDEX(Drivers!$E$8:$E$13,B1159)*SIN((A1159+INDEX(Drivers!$F$8:$F$13,B1159)+Control!$B$16)*Control!$B$14))*INDEX(TrackMap!$M$8:$M$141,MOD(INT(D1159)-1,Control!$B$7)+1)*IF(E1159="BOOST",Control!$B$12,1)))</x:f>
        <x:v>3.0908669940223183</x:v>
      </x:c>
      <x:c r="G1159" s="83" t="n">
        <x:f>IF(A1159=0,D1159,MIN(Control!$B$17,D1159+F1159))</x:f>
        <x:v>653.6609076290769</x:v>
      </x:c>
      <x:c r="H1159" s="73" t="n">
        <x:f>MOD(INT(G1159)-1,Control!$B$7)+1</x:f>
        <x:v>117</x:v>
      </x:c>
      <x:c r="I1159" s="73" t="n">
        <x:f>MIN(Control!$B$6,MAX(1,INT(MAX(0,G1159)/Control!$B$7)+1))</x:f>
        <x:v>5</x:v>
      </x:c>
      <x:c r="J1159" s="73" t="n">
        <x:f>INDEX(Drivers!$H$8:$H$13,B1159)</x:f>
        <x:v>2</x:v>
      </x:c>
      <x:c r="K1159" s="73" t="n">
        <x:f>IF(J1159=1,INDEX(TrackMap!$I$8:$I$141,H1159),INDEX(TrackMap!$L$8:$L$141,H1159))</x:f>
        <x:v>3034</x:v>
      </x:c>
      <x:c r="L1159" s="73" t="str">
        <x:f>INDEX(TrackMap!$F$8:$F$141,H1159)</x:f>
        <x:v>←</x:v>
      </x:c>
      <x:c r="M1159" s="87" t="n">
        <x:f>MAX(0,G1159/Control!$B$17)</x:f>
        <x:v>0.9756132949687715</x:v>
      </x:c>
      <x:c r="N1159" s="73" t="n">
        <x:f>IF(N1153&gt;0,N1153,IF(G1159&gt;=Control!$B$17,A1159,0))</x:f>
        <x:v>0</x:v>
      </x:c>
      <x:c r="O1159" s="91" t="n">
        <x:f>IF(N1159&gt;0,Control!$B$17+Control!$B$8+1-N1159,G1159)-B1159/100000</x:f>
        <x:v>653.6608476290769</x:v>
      </x:c>
      <x:c r="P1159" s="73" t="n">
        <x:f>COUNTIF($O$1154:$O$1159,"&gt;"&amp;O1159)+1</x:f>
        <x:v>4</x:v>
      </x:c>
      <x:c r="Q1159" s="83" t="n">
        <x:f>MAX($G$1154:$G$1159)-G1159</x:f>
        <x:v>6.679229094380844</x:v>
      </x:c>
      <x:c r="R1159" s="73" t="str">
        <x:f>INDEX(TrackMap!$B$8:$B$141,H1159)</x:f>
        <x:v>发车大直道</x:v>
      </x:c>
    </x:row>
    <x:row r="1160" ht="20" customHeight="1">
      <x:c r="A1160" s="73" t="n">
        <x:v>192</x:v>
      </x:c>
      <x:c r="B1160" s="73" t="n">
        <x:v>1</x:v>
      </x:c>
      <x:c r="C1160" s="73" t="str">
        <x:f>INDEX(Drivers!$B$8:$B$13,B1160)</x:f>
        <x:v>赤焰</x:v>
      </x:c>
      <x:c r="D1160" s="83" t="n">
        <x:f>G1154</x:f>
        <x:v>660.3401367234577</x:v>
      </x:c>
      <x:c r="E1160" s="83" t="str">
        <x:f>IF(A1160=0,"GRID",IF(D1160&gt;=Control!$B$17,"FINISHED",IF(AND(A1160&gt;=INDEX(Drivers!$G$8:$G$13,B1160),A1160&lt;INDEX(Drivers!$G$8:$G$13,B1160)+INDEX(Drivers!$J$8:$J$13,B1160)),"PIT",IF(MOD(A1160+INDEX(Drivers!$F$8:$F$13,B1160),Control!$B$11)&lt;Control!$B$13,"BOOST","RACE"))))</x:f>
        <x:v>RACE</x:v>
      </x:c>
      <x:c r="F1160" s="83" t="n">
        <x:f>IF(OR(E1160="GRID",E1160="FINISHED",E1160="PIT"),0,MAX(Control!$B$15,(INDEX(Drivers!$D$8:$D$13,B1160)+INDEX(Drivers!$E$8:$E$13,B1160)*SIN((A1160+INDEX(Drivers!$F$8:$F$13,B1160)+Control!$B$16)*Control!$B$14))*INDEX(TrackMap!$M$8:$M$141,MOD(INT(D1160)-1,Control!$B$7)+1)*IF(E1160="BOOST",Control!$B$12,1)))</x:f>
        <x:v>4.052796083017275</x:v>
      </x:c>
      <x:c r="G1160" s="83" t="n">
        <x:f>IF(A1160=0,D1160,MIN(Control!$B$17,D1160+F1160))</x:f>
        <x:v>664.392932806475</x:v>
      </x:c>
      <x:c r="H1160" s="73" t="n">
        <x:f>MOD(INT(G1160)-1,Control!$B$7)+1</x:f>
        <x:v>128</x:v>
      </x:c>
      <x:c r="I1160" s="73" t="n">
        <x:f>MIN(Control!$B$6,MAX(1,INT(MAX(0,G1160)/Control!$B$7)+1))</x:f>
        <x:v>5</x:v>
      </x:c>
      <x:c r="J1160" s="73" t="n">
        <x:f>INDEX(Drivers!$H$8:$H$13,B1160)</x:f>
        <x:v>1</x:v>
      </x:c>
      <x:c r="K1160" s="73" t="n">
        <x:f>IF(J1160=1,INDEX(TrackMap!$I$8:$I$141,H1160),INDEX(TrackMap!$L$8:$L$141,H1160))</x:f>
        <x:v>3123</x:v>
      </x:c>
      <x:c r="L1160" s="73" t="str">
        <x:f>INDEX(TrackMap!$F$8:$F$141,H1160)</x:f>
        <x:v>←</x:v>
      </x:c>
      <x:c r="M1160" s="87" t="n">
        <x:f>MAX(0,G1160/Control!$B$17)</x:f>
        <x:v>0.9916312429947387</x:v>
      </x:c>
      <x:c r="N1160" s="73" t="n">
        <x:f>IF(N1154&gt;0,N1154,IF(G1160&gt;=Control!$B$17,A1160,0))</x:f>
        <x:v>0</x:v>
      </x:c>
      <x:c r="O1160" s="91" t="n">
        <x:f>IF(N1160&gt;0,Control!$B$17+Control!$B$8+1-N1160,G1160)-B1160/100000</x:f>
        <x:v>664.392922806475</x:v>
      </x:c>
      <x:c r="P1160" s="73" t="n">
        <x:f>COUNTIF($O$1160:$O$1165,"&gt;"&amp;O1160)+1</x:f>
        <x:v>1</x:v>
      </x:c>
      <x:c r="Q1160" s="83" t="n">
        <x:f>MAX($G$1160:$G$1165)-G1160</x:f>
        <x:v>0</x:v>
      </x:c>
      <x:c r="R1160" s="73" t="str">
        <x:f>INDEX(TrackMap!$B$8:$B$141,H1160)</x:f>
        <x:v>发车大直道</x:v>
      </x:c>
    </x:row>
    <x:row r="1161" ht="20" customHeight="1">
      <x:c r="A1161" s="73" t="n">
        <x:v>192</x:v>
      </x:c>
      <x:c r="B1161" s="73" t="n">
        <x:v>2</x:v>
      </x:c>
      <x:c r="C1161" s="73" t="str">
        <x:f>INDEX(Drivers!$B$8:$B$13,B1161)</x:f>
        <x:v>蓝电</x:v>
      </x:c>
      <x:c r="D1161" s="83" t="n">
        <x:f>G1155</x:f>
        <x:v>639.4887745059019</x:v>
      </x:c>
      <x:c r="E1161" s="83" t="str">
        <x:f>IF(A1161=0,"GRID",IF(D1161&gt;=Control!$B$17,"FINISHED",IF(AND(A1161&gt;=INDEX(Drivers!$G$8:$G$13,B1161),A1161&lt;INDEX(Drivers!$G$8:$G$13,B1161)+INDEX(Drivers!$J$8:$J$13,B1161)),"PIT",IF(MOD(A1161+INDEX(Drivers!$F$8:$F$13,B1161),Control!$B$11)&lt;Control!$B$13,"BOOST","RACE"))))</x:f>
        <x:v>RACE</x:v>
      </x:c>
      <x:c r="F1161" s="83" t="n">
        <x:f>IF(OR(E1161="GRID",E1161="FINISHED",E1161="PIT"),0,MAX(Control!$B$15,(INDEX(Drivers!$D$8:$D$13,B1161)+INDEX(Drivers!$E$8:$E$13,B1161)*SIN((A1161+INDEX(Drivers!$F$8:$F$13,B1161)+Control!$B$16)*Control!$B$14))*INDEX(TrackMap!$M$8:$M$141,MOD(INT(D1161)-1,Control!$B$7)+1)*IF(E1161="BOOST",Control!$B$12,1)))</x:f>
        <x:v>3.419854936841189</x:v>
      </x:c>
      <x:c r="G1161" s="83" t="n">
        <x:f>IF(A1161=0,D1161,MIN(Control!$B$17,D1161+F1161))</x:f>
        <x:v>642.9086294427431</x:v>
      </x:c>
      <x:c r="H1161" s="73" t="n">
        <x:f>MOD(INT(G1161)-1,Control!$B$7)+1</x:f>
        <x:v>106</x:v>
      </x:c>
      <x:c r="I1161" s="73" t="n">
        <x:f>MIN(Control!$B$6,MAX(1,INT(MAX(0,G1161)/Control!$B$7)+1))</x:f>
        <x:v>5</x:v>
      </x:c>
      <x:c r="J1161" s="73" t="n">
        <x:f>INDEX(Drivers!$H$8:$H$13,B1161)</x:f>
        <x:v>2</x:v>
      </x:c>
      <x:c r="K1161" s="73" t="n">
        <x:f>IF(J1161=1,INDEX(TrackMap!$I$8:$I$141,H1161),INDEX(TrackMap!$L$8:$L$141,H1161))</x:f>
        <x:v>3045</x:v>
      </x:c>
      <x:c r="L1161" s="73" t="str">
        <x:f>INDEX(TrackMap!$F$8:$F$141,H1161)</x:f>
        <x:v>←</x:v>
      </x:c>
      <x:c r="M1161" s="87" t="n">
        <x:f>MAX(0,G1161/Control!$B$17)</x:f>
        <x:v>0.9595651185712583</x:v>
      </x:c>
      <x:c r="N1161" s="73" t="n">
        <x:f>IF(N1155&gt;0,N1155,IF(G1161&gt;=Control!$B$17,A1161,0))</x:f>
        <x:v>0</x:v>
      </x:c>
      <x:c r="O1161" s="91" t="n">
        <x:f>IF(N1161&gt;0,Control!$B$17+Control!$B$8+1-N1161,G1161)-B1161/100000</x:f>
        <x:v>642.9086094427431</x:v>
      </x:c>
      <x:c r="P1161" s="73" t="n">
        <x:f>COUNTIF($O$1160:$O$1165,"&gt;"&amp;O1161)+1</x:f>
        <x:v>6</x:v>
      </x:c>
      <x:c r="Q1161" s="83" t="n">
        <x:f>MAX($G$1160:$G$1165)-G1161</x:f>
        <x:v>21.484303363731897</x:v>
      </x:c>
      <x:c r="R1161" s="73" t="str">
        <x:f>INDEX(TrackMap!$B$8:$B$141,H1161)</x:f>
        <x:v>发车大直道</x:v>
      </x:c>
    </x:row>
    <x:row r="1162" ht="20" customHeight="1">
      <x:c r="A1162" s="73" t="n">
        <x:v>192</x:v>
      </x:c>
      <x:c r="B1162" s="73" t="n">
        <x:v>3</x:v>
      </x:c>
      <x:c r="C1162" s="73" t="str">
        <x:f>INDEX(Drivers!$B$8:$B$13,B1162)</x:f>
        <x:v>金翼</x:v>
      </x:c>
      <x:c r="D1162" s="83" t="n">
        <x:f>G1156</x:f>
        <x:v>657.0839338953762</x:v>
      </x:c>
      <x:c r="E1162" s="83" t="str">
        <x:f>IF(A1162=0,"GRID",IF(D1162&gt;=Control!$B$17,"FINISHED",IF(AND(A1162&gt;=INDEX(Drivers!$G$8:$G$13,B1162),A1162&lt;INDEX(Drivers!$G$8:$G$13,B1162)+INDEX(Drivers!$J$8:$J$13,B1162)),"PIT",IF(MOD(A1162+INDEX(Drivers!$F$8:$F$13,B1162),Control!$B$11)&lt;Control!$B$13,"BOOST","RACE"))))</x:f>
        <x:v>RACE</x:v>
      </x:c>
      <x:c r="F1162" s="83" t="n">
        <x:f>IF(OR(E1162="GRID",E1162="FINISHED",E1162="PIT"),0,MAX(Control!$B$15,(INDEX(Drivers!$D$8:$D$13,B1162)+INDEX(Drivers!$E$8:$E$13,B1162)*SIN((A1162+INDEX(Drivers!$F$8:$F$13,B1162)+Control!$B$16)*Control!$B$14))*INDEX(TrackMap!$M$8:$M$141,MOD(INT(D1162)-1,Control!$B$7)+1)*IF(E1162="BOOST",Control!$B$12,1)))</x:f>
        <x:v>3.5611452527481617</x:v>
      </x:c>
      <x:c r="G1162" s="83" t="n">
        <x:f>IF(A1162=0,D1162,MIN(Control!$B$17,D1162+F1162))</x:f>
        <x:v>660.6450791481243</x:v>
      </x:c>
      <x:c r="H1162" s="73" t="n">
        <x:f>MOD(INT(G1162)-1,Control!$B$7)+1</x:f>
        <x:v>124</x:v>
      </x:c>
      <x:c r="I1162" s="73" t="n">
        <x:f>MIN(Control!$B$6,MAX(1,INT(MAX(0,G1162)/Control!$B$7)+1))</x:f>
        <x:v>5</x:v>
      </x:c>
      <x:c r="J1162" s="73" t="n">
        <x:f>INDEX(Drivers!$H$8:$H$13,B1162)</x:f>
        <x:v>1</x:v>
      </x:c>
      <x:c r="K1162" s="73" t="n">
        <x:f>IF(J1162=1,INDEX(TrackMap!$I$8:$I$141,H1162),INDEX(TrackMap!$L$8:$L$141,H1162))</x:f>
        <x:v>3127</x:v>
      </x:c>
      <x:c r="L1162" s="73" t="str">
        <x:f>INDEX(TrackMap!$F$8:$F$141,H1162)</x:f>
        <x:v>←</x:v>
      </x:c>
      <x:c r="M1162" s="87" t="n">
        <x:f>MAX(0,G1162/Control!$B$17)</x:f>
        <x:v>0.9860374315643646</x:v>
      </x:c>
      <x:c r="N1162" s="73" t="n">
        <x:f>IF(N1156&gt;0,N1156,IF(G1162&gt;=Control!$B$17,A1162,0))</x:f>
        <x:v>0</x:v>
      </x:c>
      <x:c r="O1162" s="91" t="n">
        <x:f>IF(N1162&gt;0,Control!$B$17+Control!$B$8+1-N1162,G1162)-B1162/100000</x:f>
        <x:v>660.6450491481243</x:v>
      </x:c>
      <x:c r="P1162" s="73" t="n">
        <x:f>COUNTIF($O$1160:$O$1165,"&gt;"&amp;O1162)+1</x:f>
        <x:v>2</x:v>
      </x:c>
      <x:c r="Q1162" s="83" t="n">
        <x:f>MAX($G$1160:$G$1165)-G1162</x:f>
        <x:v>3.747853658350664</x:v>
      </x:c>
      <x:c r="R1162" s="73" t="str">
        <x:f>INDEX(TrackMap!$B$8:$B$141,H1162)</x:f>
        <x:v>发车大直道</x:v>
      </x:c>
    </x:row>
    <x:row r="1163" ht="20" customHeight="1">
      <x:c r="A1163" s="73" t="n">
        <x:v>192</x:v>
      </x:c>
      <x:c r="B1163" s="73" t="n">
        <x:v>4</x:v>
      </x:c>
      <x:c r="C1163" s="73" t="str">
        <x:f>INDEX(Drivers!$B$8:$B$13,B1163)</x:f>
        <x:v>紫影</x:v>
      </x:c>
      <x:c r="D1163" s="83" t="n">
        <x:f>G1157</x:f>
        <x:v>641.1139171396081</x:v>
      </x:c>
      <x:c r="E1163" s="83" t="str">
        <x:f>IF(A1163=0,"GRID",IF(D1163&gt;=Control!$B$17,"FINISHED",IF(AND(A1163&gt;=INDEX(Drivers!$G$8:$G$13,B1163),A1163&lt;INDEX(Drivers!$G$8:$G$13,B1163)+INDEX(Drivers!$J$8:$J$13,B1163)),"PIT",IF(MOD(A1163+INDEX(Drivers!$F$8:$F$13,B1163),Control!$B$11)&lt;Control!$B$13,"BOOST","RACE"))))</x:f>
        <x:v>RACE</x:v>
      </x:c>
      <x:c r="F1163" s="83" t="n">
        <x:f>IF(OR(E1163="GRID",E1163="FINISHED",E1163="PIT"),0,MAX(Control!$B$15,(INDEX(Drivers!$D$8:$D$13,B1163)+INDEX(Drivers!$E$8:$E$13,B1163)*SIN((A1163+INDEX(Drivers!$F$8:$F$13,B1163)+Control!$B$16)*Control!$B$14))*INDEX(TrackMap!$M$8:$M$141,MOD(INT(D1163)-1,Control!$B$7)+1)*IF(E1163="BOOST",Control!$B$12,1)))</x:f>
        <x:v>4.029173193839547</x:v>
      </x:c>
      <x:c r="G1163" s="83" t="n">
        <x:f>IF(A1163=0,D1163,MIN(Control!$B$17,D1163+F1163))</x:f>
        <x:v>645.1430903334477</x:v>
      </x:c>
      <x:c r="H1163" s="73" t="n">
        <x:f>MOD(INT(G1163)-1,Control!$B$7)+1</x:f>
        <x:v>109</x:v>
      </x:c>
      <x:c r="I1163" s="73" t="n">
        <x:f>MIN(Control!$B$6,MAX(1,INT(MAX(0,G1163)/Control!$B$7)+1))</x:f>
        <x:v>5</x:v>
      </x:c>
      <x:c r="J1163" s="73" t="n">
        <x:f>INDEX(Drivers!$H$8:$H$13,B1163)</x:f>
        <x:v>2</x:v>
      </x:c>
      <x:c r="K1163" s="73" t="n">
        <x:f>IF(J1163=1,INDEX(TrackMap!$I$8:$I$141,H1163),INDEX(TrackMap!$L$8:$L$141,H1163))</x:f>
        <x:v>3042</x:v>
      </x:c>
      <x:c r="L1163" s="73" t="str">
        <x:f>INDEX(TrackMap!$F$8:$F$141,H1163)</x:f>
        <x:v>←</x:v>
      </x:c>
      <x:c r="M1163" s="87" t="n">
        <x:f>MAX(0,G1163/Control!$B$17)</x:f>
        <x:v>0.9629001348260414</x:v>
      </x:c>
      <x:c r="N1163" s="73" t="n">
        <x:f>IF(N1157&gt;0,N1157,IF(G1163&gt;=Control!$B$17,A1163,0))</x:f>
        <x:v>0</x:v>
      </x:c>
      <x:c r="O1163" s="91" t="n">
        <x:f>IF(N1163&gt;0,Control!$B$17+Control!$B$8+1-N1163,G1163)-B1163/100000</x:f>
        <x:v>645.1430503334477</x:v>
      </x:c>
      <x:c r="P1163" s="73" t="n">
        <x:f>COUNTIF($O$1160:$O$1165,"&gt;"&amp;O1163)+1</x:f>
        <x:v>5</x:v>
      </x:c>
      <x:c r="Q1163" s="83" t="n">
        <x:f>MAX($G$1160:$G$1165)-G1163</x:f>
        <x:v>19.24984247302723</x:v>
      </x:c>
      <x:c r="R1163" s="73" t="str">
        <x:f>INDEX(TrackMap!$B$8:$B$141,H1163)</x:f>
        <x:v>发车大直道</x:v>
      </x:c>
    </x:row>
    <x:row r="1164" ht="20" customHeight="1">
      <x:c r="A1164" s="73" t="n">
        <x:v>192</x:v>
      </x:c>
      <x:c r="B1164" s="73" t="n">
        <x:v>5</x:v>
      </x:c>
      <x:c r="C1164" s="73" t="str">
        <x:f>INDEX(Drivers!$B$8:$B$13,B1164)</x:f>
        <x:v>青锋</x:v>
      </x:c>
      <x:c r="D1164" s="83" t="n">
        <x:f>G1158</x:f>
        <x:v>655.7592208759494</x:v>
      </x:c>
      <x:c r="E1164" s="83" t="str">
        <x:f>IF(A1164=0,"GRID",IF(D1164&gt;=Control!$B$17,"FINISHED",IF(AND(A1164&gt;=INDEX(Drivers!$G$8:$G$13,B1164),A1164&lt;INDEX(Drivers!$G$8:$G$13,B1164)+INDEX(Drivers!$J$8:$J$13,B1164)),"PIT",IF(MOD(A1164+INDEX(Drivers!$F$8:$F$13,B1164),Control!$B$11)&lt;Control!$B$13,"BOOST","RACE"))))</x:f>
        <x:v>RACE</x:v>
      </x:c>
      <x:c r="F1164" s="83" t="n">
        <x:f>IF(OR(E1164="GRID",E1164="FINISHED",E1164="PIT"),0,MAX(Control!$B$15,(INDEX(Drivers!$D$8:$D$13,B1164)+INDEX(Drivers!$E$8:$E$13,B1164)*SIN((A1164+INDEX(Drivers!$F$8:$F$13,B1164)+Control!$B$16)*Control!$B$14))*INDEX(TrackMap!$M$8:$M$141,MOD(INT(D1164)-1,Control!$B$7)+1)*IF(E1164="BOOST",Control!$B$12,1)))</x:f>
        <x:v>4.017150670930309</x:v>
      </x:c>
      <x:c r="G1164" s="83" t="n">
        <x:f>IF(A1164=0,D1164,MIN(Control!$B$17,D1164+F1164))</x:f>
        <x:v>659.7763715468797</x:v>
      </x:c>
      <x:c r="H1164" s="73" t="n">
        <x:f>MOD(INT(G1164)-1,Control!$B$7)+1</x:f>
        <x:v>123</x:v>
      </x:c>
      <x:c r="I1164" s="73" t="n">
        <x:f>MIN(Control!$B$6,MAX(1,INT(MAX(0,G1164)/Control!$B$7)+1))</x:f>
        <x:v>5</x:v>
      </x:c>
      <x:c r="J1164" s="73" t="n">
        <x:f>INDEX(Drivers!$H$8:$H$13,B1164)</x:f>
        <x:v>1</x:v>
      </x:c>
      <x:c r="K1164" s="73" t="n">
        <x:f>IF(J1164=1,INDEX(TrackMap!$I$8:$I$141,H1164),INDEX(TrackMap!$L$8:$L$141,H1164))</x:f>
        <x:v>3128</x:v>
      </x:c>
      <x:c r="L1164" s="73" t="str">
        <x:f>INDEX(TrackMap!$F$8:$F$141,H1164)</x:f>
        <x:v>←</x:v>
      </x:c>
      <x:c r="M1164" s="87" t="n">
        <x:f>MAX(0,G1164/Control!$B$17)</x:f>
        <x:v>0.9847408530550442</x:v>
      </x:c>
      <x:c r="N1164" s="73" t="n">
        <x:f>IF(N1158&gt;0,N1158,IF(G1164&gt;=Control!$B$17,A1164,0))</x:f>
        <x:v>0</x:v>
      </x:c>
      <x:c r="O1164" s="91" t="n">
        <x:f>IF(N1164&gt;0,Control!$B$17+Control!$B$8+1-N1164,G1164)-B1164/100000</x:f>
        <x:v>659.7763215468797</x:v>
      </x:c>
      <x:c r="P1164" s="73" t="n">
        <x:f>COUNTIF($O$1160:$O$1165,"&gt;"&amp;O1164)+1</x:f>
        <x:v>3</x:v>
      </x:c>
      <x:c r="Q1164" s="83" t="n">
        <x:f>MAX($G$1160:$G$1165)-G1164</x:f>
        <x:v>4.616561259595301</x:v>
      </x:c>
      <x:c r="R1164" s="73" t="str">
        <x:f>INDEX(TrackMap!$B$8:$B$141,H1164)</x:f>
        <x:v>发车大直道</x:v>
      </x:c>
    </x:row>
    <x:row r="1165" ht="20" customHeight="1">
      <x:c r="A1165" s="73" t="n">
        <x:v>192</x:v>
      </x:c>
      <x:c r="B1165" s="73" t="n">
        <x:v>6</x:v>
      </x:c>
      <x:c r="C1165" s="73" t="str">
        <x:f>INDEX(Drivers!$B$8:$B$13,B1165)</x:f>
        <x:v>玫速</x:v>
      </x:c>
      <x:c r="D1165" s="83" t="n">
        <x:f>G1159</x:f>
        <x:v>653.6609076290769</x:v>
      </x:c>
      <x:c r="E1165" s="83" t="str">
        <x:f>IF(A1165=0,"GRID",IF(D1165&gt;=Control!$B$17,"FINISHED",IF(AND(A1165&gt;=INDEX(Drivers!$G$8:$G$13,B1165),A1165&lt;INDEX(Drivers!$G$8:$G$13,B1165)+INDEX(Drivers!$J$8:$J$13,B1165)),"PIT",IF(MOD(A1165+INDEX(Drivers!$F$8:$F$13,B1165),Control!$B$11)&lt;Control!$B$13,"BOOST","RACE"))))</x:f>
        <x:v>RACE</x:v>
      </x:c>
      <x:c r="F1165" s="83" t="n">
        <x:f>IF(OR(E1165="GRID",E1165="FINISHED",E1165="PIT"),0,MAX(Control!$B$15,(INDEX(Drivers!$D$8:$D$13,B1165)+INDEX(Drivers!$E$8:$E$13,B1165)*SIN((A1165+INDEX(Drivers!$F$8:$F$13,B1165)+Control!$B$16)*Control!$B$14))*INDEX(TrackMap!$M$8:$M$141,MOD(INT(D1165)-1,Control!$B$7)+1)*IF(E1165="BOOST",Control!$B$12,1)))</x:f>
        <x:v>3.08962808386244</x:v>
      </x:c>
      <x:c r="G1165" s="83" t="n">
        <x:f>IF(A1165=0,D1165,MIN(Control!$B$17,D1165+F1165))</x:f>
        <x:v>656.7505357129393</x:v>
      </x:c>
      <x:c r="H1165" s="73" t="n">
        <x:f>MOD(INT(G1165)-1,Control!$B$7)+1</x:f>
        <x:v>120</x:v>
      </x:c>
      <x:c r="I1165" s="73" t="n">
        <x:f>MIN(Control!$B$6,MAX(1,INT(MAX(0,G1165)/Control!$B$7)+1))</x:f>
        <x:v>5</x:v>
      </x:c>
      <x:c r="J1165" s="73" t="n">
        <x:f>INDEX(Drivers!$H$8:$H$13,B1165)</x:f>
        <x:v>2</x:v>
      </x:c>
      <x:c r="K1165" s="73" t="n">
        <x:f>IF(J1165=1,INDEX(TrackMap!$I$8:$I$141,H1165),INDEX(TrackMap!$L$8:$L$141,H1165))</x:f>
        <x:v>3031</x:v>
      </x:c>
      <x:c r="L1165" s="73" t="str">
        <x:f>INDEX(TrackMap!$F$8:$F$141,H1165)</x:f>
        <x:v>←</x:v>
      </x:c>
      <x:c r="M1165" s="87" t="n">
        <x:f>MAX(0,G1165/Control!$B$17)</x:f>
        <x:v>0.9802246801685661</x:v>
      </x:c>
      <x:c r="N1165" s="73" t="n">
        <x:f>IF(N1159&gt;0,N1159,IF(G1165&gt;=Control!$B$17,A1165,0))</x:f>
        <x:v>0</x:v>
      </x:c>
      <x:c r="O1165" s="91" t="n">
        <x:f>IF(N1165&gt;0,Control!$B$17+Control!$B$8+1-N1165,G1165)-B1165/100000</x:f>
        <x:v>656.7504757129393</x:v>
      </x:c>
      <x:c r="P1165" s="73" t="n">
        <x:f>COUNTIF($O$1160:$O$1165,"&gt;"&amp;O1165)+1</x:f>
        <x:v>4</x:v>
      </x:c>
      <x:c r="Q1165" s="83" t="n">
        <x:f>MAX($G$1160:$G$1165)-G1165</x:f>
        <x:v>7.642397093535692</x:v>
      </x:c>
      <x:c r="R1165" s="73" t="str">
        <x:f>INDEX(TrackMap!$B$8:$B$141,H1165)</x:f>
        <x:v>发车大直道</x:v>
      </x:c>
    </x:row>
    <x:row r="1166" ht="20" customHeight="1">
      <x:c r="A1166" s="73" t="n">
        <x:v>193</x:v>
      </x:c>
      <x:c r="B1166" s="73" t="n">
        <x:v>1</x:v>
      </x:c>
      <x:c r="C1166" s="73" t="str">
        <x:f>INDEX(Drivers!$B$8:$B$13,B1166)</x:f>
        <x:v>赤焰</x:v>
      </x:c>
      <x:c r="D1166" s="83" t="n">
        <x:f>G1160</x:f>
        <x:v>664.392932806475</x:v>
      </x:c>
      <x:c r="E1166" s="83" t="str">
        <x:f>IF(A1166=0,"GRID",IF(D1166&gt;=Control!$B$17,"FINISHED",IF(AND(A1166&gt;=INDEX(Drivers!$G$8:$G$13,B1166),A1166&lt;INDEX(Drivers!$G$8:$G$13,B1166)+INDEX(Drivers!$J$8:$J$13,B1166)),"PIT",IF(MOD(A1166+INDEX(Drivers!$F$8:$F$13,B1166),Control!$B$11)&lt;Control!$B$13,"BOOST","RACE"))))</x:f>
        <x:v>RACE</x:v>
      </x:c>
      <x:c r="F1166" s="83" t="n">
        <x:f>IF(OR(E1166="GRID",E1166="FINISHED",E1166="PIT"),0,MAX(Control!$B$15,(INDEX(Drivers!$D$8:$D$13,B1166)+INDEX(Drivers!$E$8:$E$13,B1166)*SIN((A1166+INDEX(Drivers!$F$8:$F$13,B1166)+Control!$B$16)*Control!$B$14))*INDEX(TrackMap!$M$8:$M$141,MOD(INT(D1166)-1,Control!$B$7)+1)*IF(E1166="BOOST",Control!$B$12,1)))</x:f>
        <x:v>4.1609652277631115</x:v>
      </x:c>
      <x:c r="G1166" s="83" t="n">
        <x:f>IF(A1166=0,D1166,MIN(Control!$B$17,D1166+F1166))</x:f>
        <x:v>668.553898034238</x:v>
      </x:c>
      <x:c r="H1166" s="73" t="n">
        <x:f>MOD(INT(G1166)-1,Control!$B$7)+1</x:f>
        <x:v>132</x:v>
      </x:c>
      <x:c r="I1166" s="73" t="n">
        <x:f>MIN(Control!$B$6,MAX(1,INT(MAX(0,G1166)/Control!$B$7)+1))</x:f>
        <x:v>5</x:v>
      </x:c>
      <x:c r="J1166" s="73" t="n">
        <x:f>INDEX(Drivers!$H$8:$H$13,B1166)</x:f>
        <x:v>1</x:v>
      </x:c>
      <x:c r="K1166" s="73" t="n">
        <x:f>IF(J1166=1,INDEX(TrackMap!$I$8:$I$141,H1166),INDEX(TrackMap!$L$8:$L$141,H1166))</x:f>
        <x:v>3119</x:v>
      </x:c>
      <x:c r="L1166" s="73" t="str">
        <x:f>INDEX(TrackMap!$F$8:$F$141,H1166)</x:f>
        <x:v>←</x:v>
      </x:c>
      <x:c r="M1166" s="87" t="n">
        <x:f>MAX(0,G1166/Control!$B$17)</x:f>
        <x:v>0.9978416388570717</x:v>
      </x:c>
      <x:c r="N1166" s="73" t="n">
        <x:f>IF(N1160&gt;0,N1160,IF(G1166&gt;=Control!$B$17,A1166,0))</x:f>
        <x:v>0</x:v>
      </x:c>
      <x:c r="O1166" s="91" t="n">
        <x:f>IF(N1166&gt;0,Control!$B$17+Control!$B$8+1-N1166,G1166)-B1166/100000</x:f>
        <x:v>668.5538880342381</x:v>
      </x:c>
      <x:c r="P1166" s="73" t="n">
        <x:f>COUNTIF($O$1166:$O$1171,"&gt;"&amp;O1166)+1</x:f>
        <x:v>1</x:v>
      </x:c>
      <x:c r="Q1166" s="83" t="n">
        <x:f>MAX($G$1166:$G$1171)-G1166</x:f>
        <x:v>0</x:v>
      </x:c>
      <x:c r="R1166" s="73" t="str">
        <x:f>INDEX(TrackMap!$B$8:$B$141,H1166)</x:f>
        <x:v>发车大直道</x:v>
      </x:c>
    </x:row>
    <x:row r="1167" ht="20" customHeight="1">
      <x:c r="A1167" s="73" t="n">
        <x:v>193</x:v>
      </x:c>
      <x:c r="B1167" s="73" t="n">
        <x:v>2</x:v>
      </x:c>
      <x:c r="C1167" s="73" t="str">
        <x:f>INDEX(Drivers!$B$8:$B$13,B1167)</x:f>
        <x:v>蓝电</x:v>
      </x:c>
      <x:c r="D1167" s="83" t="n">
        <x:f>G1161</x:f>
        <x:v>642.9086294427431</x:v>
      </x:c>
      <x:c r="E1167" s="83" t="str">
        <x:f>IF(A1167=0,"GRID",IF(D1167&gt;=Control!$B$17,"FINISHED",IF(AND(A1167&gt;=INDEX(Drivers!$G$8:$G$13,B1167),A1167&lt;INDEX(Drivers!$G$8:$G$13,B1167)+INDEX(Drivers!$J$8:$J$13,B1167)),"PIT",IF(MOD(A1167+INDEX(Drivers!$F$8:$F$13,B1167),Control!$B$11)&lt;Control!$B$13,"BOOST","RACE"))))</x:f>
        <x:v>RACE</x:v>
      </x:c>
      <x:c r="F1167" s="83" t="n">
        <x:f>IF(OR(E1167="GRID",E1167="FINISHED",E1167="PIT"),0,MAX(Control!$B$15,(INDEX(Drivers!$D$8:$D$13,B1167)+INDEX(Drivers!$E$8:$E$13,B1167)*SIN((A1167+INDEX(Drivers!$F$8:$F$13,B1167)+Control!$B$16)*Control!$B$14))*INDEX(TrackMap!$M$8:$M$141,MOD(INT(D1167)-1,Control!$B$7)+1)*IF(E1167="BOOST",Control!$B$12,1)))</x:f>
        <x:v>3.221594353359343</x:v>
      </x:c>
      <x:c r="G1167" s="83" t="n">
        <x:f>IF(A1167=0,D1167,MIN(Control!$B$17,D1167+F1167))</x:f>
        <x:v>646.1302237961024</x:v>
      </x:c>
      <x:c r="H1167" s="73" t="n">
        <x:f>MOD(INT(G1167)-1,Control!$B$7)+1</x:f>
        <x:v>110</x:v>
      </x:c>
      <x:c r="I1167" s="73" t="n">
        <x:f>MIN(Control!$B$6,MAX(1,INT(MAX(0,G1167)/Control!$B$7)+1))</x:f>
        <x:v>5</x:v>
      </x:c>
      <x:c r="J1167" s="73" t="n">
        <x:f>INDEX(Drivers!$H$8:$H$13,B1167)</x:f>
        <x:v>2</x:v>
      </x:c>
      <x:c r="K1167" s="73" t="n">
        <x:f>IF(J1167=1,INDEX(TrackMap!$I$8:$I$141,H1167),INDEX(TrackMap!$L$8:$L$141,H1167))</x:f>
        <x:v>3041</x:v>
      </x:c>
      <x:c r="L1167" s="73" t="str">
        <x:f>INDEX(TrackMap!$F$8:$F$141,H1167)</x:f>
        <x:v>←</x:v>
      </x:c>
      <x:c r="M1167" s="87" t="n">
        <x:f>MAX(0,G1167/Control!$B$17)</x:f>
        <x:v>0.9643734683523917</x:v>
      </x:c>
      <x:c r="N1167" s="73" t="n">
        <x:f>IF(N1161&gt;0,N1161,IF(G1167&gt;=Control!$B$17,A1167,0))</x:f>
        <x:v>0</x:v>
      </x:c>
      <x:c r="O1167" s="91" t="n">
        <x:f>IF(N1167&gt;0,Control!$B$17+Control!$B$8+1-N1167,G1167)-B1167/100000</x:f>
        <x:v>646.1302037961025</x:v>
      </x:c>
      <x:c r="P1167" s="73" t="n">
        <x:f>COUNTIF($O$1166:$O$1171,"&gt;"&amp;O1167)+1</x:f>
        <x:v>6</x:v>
      </x:c>
      <x:c r="Q1167" s="83" t="n">
        <x:f>MAX($G$1166:$G$1171)-G1167</x:f>
        <x:v>22.423674238135618</x:v>
      </x:c>
      <x:c r="R1167" s="73" t="str">
        <x:f>INDEX(TrackMap!$B$8:$B$141,H1167)</x:f>
        <x:v>发车大直道</x:v>
      </x:c>
    </x:row>
    <x:row r="1168" ht="20" customHeight="1">
      <x:c r="A1168" s="73" t="n">
        <x:v>193</x:v>
      </x:c>
      <x:c r="B1168" s="73" t="n">
        <x:v>3</x:v>
      </x:c>
      <x:c r="C1168" s="73" t="str">
        <x:f>INDEX(Drivers!$B$8:$B$13,B1168)</x:f>
        <x:v>金翼</x:v>
      </x:c>
      <x:c r="D1168" s="83" t="n">
        <x:f>G1162</x:f>
        <x:v>660.6450791481243</x:v>
      </x:c>
      <x:c r="E1168" s="83" t="str">
        <x:f>IF(A1168=0,"GRID",IF(D1168&gt;=Control!$B$17,"FINISHED",IF(AND(A1168&gt;=INDEX(Drivers!$G$8:$G$13,B1168),A1168&lt;INDEX(Drivers!$G$8:$G$13,B1168)+INDEX(Drivers!$J$8:$J$13,B1168)),"PIT",IF(MOD(A1168+INDEX(Drivers!$F$8:$F$13,B1168),Control!$B$11)&lt;Control!$B$13,"BOOST","RACE"))))</x:f>
        <x:v>RACE</x:v>
      </x:c>
      <x:c r="F1168" s="83" t="n">
        <x:f>IF(OR(E1168="GRID",E1168="FINISHED",E1168="PIT"),0,MAX(Control!$B$15,(INDEX(Drivers!$D$8:$D$13,B1168)+INDEX(Drivers!$E$8:$E$13,B1168)*SIN((A1168+INDEX(Drivers!$F$8:$F$13,B1168)+Control!$B$16)*Control!$B$14))*INDEX(TrackMap!$M$8:$M$141,MOD(INT(D1168)-1,Control!$B$7)+1)*IF(E1168="BOOST",Control!$B$12,1)))</x:f>
        <x:v>3.7442375848418403</x:v>
      </x:c>
      <x:c r="G1168" s="83" t="n">
        <x:f>IF(A1168=0,D1168,MIN(Control!$B$17,D1168+F1168))</x:f>
        <x:v>664.3893167329661</x:v>
      </x:c>
      <x:c r="H1168" s="73" t="n">
        <x:f>MOD(INT(G1168)-1,Control!$B$7)+1</x:f>
        <x:v>128</x:v>
      </x:c>
      <x:c r="I1168" s="73" t="n">
        <x:f>MIN(Control!$B$6,MAX(1,INT(MAX(0,G1168)/Control!$B$7)+1))</x:f>
        <x:v>5</x:v>
      </x:c>
      <x:c r="J1168" s="73" t="n">
        <x:f>INDEX(Drivers!$H$8:$H$13,B1168)</x:f>
        <x:v>1</x:v>
      </x:c>
      <x:c r="K1168" s="73" t="n">
        <x:f>IF(J1168=1,INDEX(TrackMap!$I$8:$I$141,H1168),INDEX(TrackMap!$L$8:$L$141,H1168))</x:f>
        <x:v>3123</x:v>
      </x:c>
      <x:c r="L1168" s="73" t="str">
        <x:f>INDEX(TrackMap!$F$8:$F$141,H1168)</x:f>
        <x:v>←</x:v>
      </x:c>
      <x:c r="M1168" s="87" t="n">
        <x:f>MAX(0,G1168/Control!$B$17)</x:f>
        <x:v>0.9916258458700987</x:v>
      </x:c>
      <x:c r="N1168" s="73" t="n">
        <x:f>IF(N1162&gt;0,N1162,IF(G1168&gt;=Control!$B$17,A1168,0))</x:f>
        <x:v>0</x:v>
      </x:c>
      <x:c r="O1168" s="91" t="n">
        <x:f>IF(N1168&gt;0,Control!$B$17+Control!$B$8+1-N1168,G1168)-B1168/100000</x:f>
        <x:v>664.3892867329661</x:v>
      </x:c>
      <x:c r="P1168" s="73" t="n">
        <x:f>COUNTIF($O$1166:$O$1171,"&gt;"&amp;O1168)+1</x:f>
        <x:v>2</x:v>
      </x:c>
      <x:c r="Q1168" s="83" t="n">
        <x:f>MAX($G$1166:$G$1171)-G1168</x:f>
        <x:v>4.164581301271937</x:v>
      </x:c>
      <x:c r="R1168" s="73" t="str">
        <x:f>INDEX(TrackMap!$B$8:$B$141,H1168)</x:f>
        <x:v>发车大直道</x:v>
      </x:c>
    </x:row>
    <x:row r="1169" ht="20" customHeight="1">
      <x:c r="A1169" s="73" t="n">
        <x:v>193</x:v>
      </x:c>
      <x:c r="B1169" s="73" t="n">
        <x:v>4</x:v>
      </x:c>
      <x:c r="C1169" s="73" t="str">
        <x:f>INDEX(Drivers!$B$8:$B$13,B1169)</x:f>
        <x:v>紫影</x:v>
      </x:c>
      <x:c r="D1169" s="83" t="n">
        <x:f>G1163</x:f>
        <x:v>645.1430903334477</x:v>
      </x:c>
      <x:c r="E1169" s="83" t="str">
        <x:f>IF(A1169=0,"GRID",IF(D1169&gt;=Control!$B$17,"FINISHED",IF(AND(A1169&gt;=INDEX(Drivers!$G$8:$G$13,B1169),A1169&lt;INDEX(Drivers!$G$8:$G$13,B1169)+INDEX(Drivers!$J$8:$J$13,B1169)),"PIT",IF(MOD(A1169+INDEX(Drivers!$F$8:$F$13,B1169),Control!$B$11)&lt;Control!$B$13,"BOOST","RACE"))))</x:f>
        <x:v>BOOST</x:v>
      </x:c>
      <x:c r="F1169" s="83" t="n">
        <x:f>IF(OR(E1169="GRID",E1169="FINISHED",E1169="PIT"),0,MAX(Control!$B$15,(INDEX(Drivers!$D$8:$D$13,B1169)+INDEX(Drivers!$E$8:$E$13,B1169)*SIN((A1169+INDEX(Drivers!$F$8:$F$13,B1169)+Control!$B$16)*Control!$B$14))*INDEX(TrackMap!$M$8:$M$141,MOD(INT(D1169)-1,Control!$B$7)+1)*IF(E1169="BOOST",Control!$B$12,1)))</x:f>
        <x:v>5.209715781437496</x:v>
      </x:c>
      <x:c r="G1169" s="83" t="n">
        <x:f>IF(A1169=0,D1169,MIN(Control!$B$17,D1169+F1169))</x:f>
        <x:v>650.3528061148852</x:v>
      </x:c>
      <x:c r="H1169" s="73" t="n">
        <x:f>MOD(INT(G1169)-1,Control!$B$7)+1</x:f>
        <x:v>114</x:v>
      </x:c>
      <x:c r="I1169" s="73" t="n">
        <x:f>MIN(Control!$B$6,MAX(1,INT(MAX(0,G1169)/Control!$B$7)+1))</x:f>
        <x:v>5</x:v>
      </x:c>
      <x:c r="J1169" s="73" t="n">
        <x:f>INDEX(Drivers!$H$8:$H$13,B1169)</x:f>
        <x:v>2</x:v>
      </x:c>
      <x:c r="K1169" s="73" t="n">
        <x:f>IF(J1169=1,INDEX(TrackMap!$I$8:$I$141,H1169),INDEX(TrackMap!$L$8:$L$141,H1169))</x:f>
        <x:v>3037</x:v>
      </x:c>
      <x:c r="L1169" s="73" t="str">
        <x:f>INDEX(TrackMap!$F$8:$F$141,H1169)</x:f>
        <x:v>←</x:v>
      </x:c>
      <x:c r="M1169" s="87" t="n">
        <x:f>MAX(0,G1169/Control!$B$17)</x:f>
        <x:v>0.9706758300222167</x:v>
      </x:c>
      <x:c r="N1169" s="73" t="n">
        <x:f>IF(N1163&gt;0,N1163,IF(G1169&gt;=Control!$B$17,A1169,0))</x:f>
        <x:v>0</x:v>
      </x:c>
      <x:c r="O1169" s="91" t="n">
        <x:f>IF(N1169&gt;0,Control!$B$17+Control!$B$8+1-N1169,G1169)-B1169/100000</x:f>
        <x:v>650.3527661148852</x:v>
      </x:c>
      <x:c r="P1169" s="73" t="n">
        <x:f>COUNTIF($O$1166:$O$1171,"&gt;"&amp;O1169)+1</x:f>
        <x:v>5</x:v>
      </x:c>
      <x:c r="Q1169" s="83" t="n">
        <x:f>MAX($G$1166:$G$1171)-G1169</x:f>
        <x:v>18.201091919352848</x:v>
      </x:c>
      <x:c r="R1169" s="73" t="str">
        <x:f>INDEX(TrackMap!$B$8:$B$141,H1169)</x:f>
        <x:v>发车大直道</x:v>
      </x:c>
    </x:row>
    <x:row r="1170" ht="20" customHeight="1">
      <x:c r="A1170" s="73" t="n">
        <x:v>193</x:v>
      </x:c>
      <x:c r="B1170" s="73" t="n">
        <x:v>5</x:v>
      </x:c>
      <x:c r="C1170" s="73" t="str">
        <x:f>INDEX(Drivers!$B$8:$B$13,B1170)</x:f>
        <x:v>青锋</x:v>
      </x:c>
      <x:c r="D1170" s="83" t="n">
        <x:f>G1164</x:f>
        <x:v>659.7763715468797</x:v>
      </x:c>
      <x:c r="E1170" s="83" t="str">
        <x:f>IF(A1170=0,"GRID",IF(D1170&gt;=Control!$B$17,"FINISHED",IF(AND(A1170&gt;=INDEX(Drivers!$G$8:$G$13,B1170),A1170&lt;INDEX(Drivers!$G$8:$G$13,B1170)+INDEX(Drivers!$J$8:$J$13,B1170)),"PIT",IF(MOD(A1170+INDEX(Drivers!$F$8:$F$13,B1170),Control!$B$11)&lt;Control!$B$13,"BOOST","RACE"))))</x:f>
        <x:v>RACE</x:v>
      </x:c>
      <x:c r="F1170" s="83" t="n">
        <x:f>IF(OR(E1170="GRID",E1170="FINISHED",E1170="PIT"),0,MAX(Control!$B$15,(INDEX(Drivers!$D$8:$D$13,B1170)+INDEX(Drivers!$E$8:$E$13,B1170)*SIN((A1170+INDEX(Drivers!$F$8:$F$13,B1170)+Control!$B$16)*Control!$B$14))*INDEX(TrackMap!$M$8:$M$141,MOD(INT(D1170)-1,Control!$B$7)+1)*IF(E1170="BOOST",Control!$B$12,1)))</x:f>
        <x:v>3.8654157166829055</x:v>
      </x:c>
      <x:c r="G1170" s="83" t="n">
        <x:f>IF(A1170=0,D1170,MIN(Control!$B$17,D1170+F1170))</x:f>
        <x:v>663.6417872635626</x:v>
      </x:c>
      <x:c r="H1170" s="73" t="n">
        <x:f>MOD(INT(G1170)-1,Control!$B$7)+1</x:f>
        <x:v>127</x:v>
      </x:c>
      <x:c r="I1170" s="73" t="n">
        <x:f>MIN(Control!$B$6,MAX(1,INT(MAX(0,G1170)/Control!$B$7)+1))</x:f>
        <x:v>5</x:v>
      </x:c>
      <x:c r="J1170" s="73" t="n">
        <x:f>INDEX(Drivers!$H$8:$H$13,B1170)</x:f>
        <x:v>1</x:v>
      </x:c>
      <x:c r="K1170" s="73" t="n">
        <x:f>IF(J1170=1,INDEX(TrackMap!$I$8:$I$141,H1170),INDEX(TrackMap!$L$8:$L$141,H1170))</x:f>
        <x:v>3124</x:v>
      </x:c>
      <x:c r="L1170" s="73" t="str">
        <x:f>INDEX(TrackMap!$F$8:$F$141,H1170)</x:f>
        <x:v>←</x:v>
      </x:c>
      <x:c r="M1170" s="87" t="n">
        <x:f>MAX(0,G1170/Control!$B$17)</x:f>
        <x:v>0.9905101302441233</x:v>
      </x:c>
      <x:c r="N1170" s="73" t="n">
        <x:f>IF(N1164&gt;0,N1164,IF(G1170&gt;=Control!$B$17,A1170,0))</x:f>
        <x:v>0</x:v>
      </x:c>
      <x:c r="O1170" s="91" t="n">
        <x:f>IF(N1170&gt;0,Control!$B$17+Control!$B$8+1-N1170,G1170)-B1170/100000</x:f>
        <x:v>663.6417372635626</x:v>
      </x:c>
      <x:c r="P1170" s="73" t="n">
        <x:f>COUNTIF($O$1166:$O$1171,"&gt;"&amp;O1170)+1</x:f>
        <x:v>3</x:v>
      </x:c>
      <x:c r="Q1170" s="83" t="n">
        <x:f>MAX($G$1166:$G$1171)-G1170</x:f>
        <x:v>4.91211077067544</x:v>
      </x:c>
      <x:c r="R1170" s="73" t="str">
        <x:f>INDEX(TrackMap!$B$8:$B$141,H1170)</x:f>
        <x:v>发车大直道</x:v>
      </x:c>
    </x:row>
    <x:row r="1171" ht="20" customHeight="1">
      <x:c r="A1171" s="73" t="n">
        <x:v>193</x:v>
      </x:c>
      <x:c r="B1171" s="73" t="n">
        <x:v>6</x:v>
      </x:c>
      <x:c r="C1171" s="73" t="str">
        <x:f>INDEX(Drivers!$B$8:$B$13,B1171)</x:f>
        <x:v>玫速</x:v>
      </x:c>
      <x:c r="D1171" s="83" t="n">
        <x:f>G1165</x:f>
        <x:v>656.7505357129393</x:v>
      </x:c>
      <x:c r="E1171" s="83" t="str">
        <x:f>IF(A1171=0,"GRID",IF(D1171&gt;=Control!$B$17,"FINISHED",IF(AND(A1171&gt;=INDEX(Drivers!$G$8:$G$13,B1171),A1171&lt;INDEX(Drivers!$G$8:$G$13,B1171)+INDEX(Drivers!$J$8:$J$13,B1171)),"PIT",IF(MOD(A1171+INDEX(Drivers!$F$8:$F$13,B1171),Control!$B$11)&lt;Control!$B$13,"BOOST","RACE"))))</x:f>
        <x:v>RACE</x:v>
      </x:c>
      <x:c r="F1171" s="83" t="n">
        <x:f>IF(OR(E1171="GRID",E1171="FINISHED",E1171="PIT"),0,MAX(Control!$B$15,(INDEX(Drivers!$D$8:$D$13,B1171)+INDEX(Drivers!$E$8:$E$13,B1171)*SIN((A1171+INDEX(Drivers!$F$8:$F$13,B1171)+Control!$B$16)*Control!$B$14))*INDEX(TrackMap!$M$8:$M$141,MOD(INT(D1171)-1,Control!$B$7)+1)*IF(E1171="BOOST",Control!$B$12,1)))</x:f>
        <x:v>3.168293242991923</x:v>
      </x:c>
      <x:c r="G1171" s="83" t="n">
        <x:f>IF(A1171=0,D1171,MIN(Control!$B$17,D1171+F1171))</x:f>
        <x:v>659.9188289559312</x:v>
      </x:c>
      <x:c r="H1171" s="73" t="n">
        <x:f>MOD(INT(G1171)-1,Control!$B$7)+1</x:f>
        <x:v>123</x:v>
      </x:c>
      <x:c r="I1171" s="73" t="n">
        <x:f>MIN(Control!$B$6,MAX(1,INT(MAX(0,G1171)/Control!$B$7)+1))</x:f>
        <x:v>5</x:v>
      </x:c>
      <x:c r="J1171" s="73" t="n">
        <x:f>INDEX(Drivers!$H$8:$H$13,B1171)</x:f>
        <x:v>2</x:v>
      </x:c>
      <x:c r="K1171" s="73" t="n">
        <x:f>IF(J1171=1,INDEX(TrackMap!$I$8:$I$141,H1171),INDEX(TrackMap!$L$8:$L$141,H1171))</x:f>
        <x:v>3028</x:v>
      </x:c>
      <x:c r="L1171" s="73" t="str">
        <x:f>INDEX(TrackMap!$F$8:$F$141,H1171)</x:f>
        <x:v>←</x:v>
      </x:c>
      <x:c r="M1171" s="87" t="n">
        <x:f>MAX(0,G1171/Control!$B$17)</x:f>
        <x:v>0.9849534760536286</x:v>
      </x:c>
      <x:c r="N1171" s="73" t="n">
        <x:f>IF(N1165&gt;0,N1165,IF(G1171&gt;=Control!$B$17,A1171,0))</x:f>
        <x:v>0</x:v>
      </x:c>
      <x:c r="O1171" s="91" t="n">
        <x:f>IF(N1171&gt;0,Control!$B$17+Control!$B$8+1-N1171,G1171)-B1171/100000</x:f>
        <x:v>659.9187689559312</x:v>
      </x:c>
      <x:c r="P1171" s="73" t="n">
        <x:f>COUNTIF($O$1166:$O$1171,"&gt;"&amp;O1171)+1</x:f>
        <x:v>4</x:v>
      </x:c>
      <x:c r="Q1171" s="83" t="n">
        <x:f>MAX($G$1166:$G$1171)-G1171</x:f>
        <x:v>8.635069078306856</x:v>
      </x:c>
      <x:c r="R1171" s="73" t="str">
        <x:f>INDEX(TrackMap!$B$8:$B$141,H1171)</x:f>
        <x:v>发车大直道</x:v>
      </x:c>
    </x:row>
    <x:row r="1172" ht="20" customHeight="1">
      <x:c r="A1172" s="73" t="n">
        <x:v>194</x:v>
      </x:c>
      <x:c r="B1172" s="73" t="n">
        <x:v>1</x:v>
      </x:c>
      <x:c r="C1172" s="73" t="str">
        <x:f>INDEX(Drivers!$B$8:$B$13,B1172)</x:f>
        <x:v>赤焰</x:v>
      </x:c>
      <x:c r="D1172" s="83" t="n">
        <x:f>G1166</x:f>
        <x:v>668.553898034238</x:v>
      </x:c>
      <x:c r="E1172" s="83" t="str">
        <x:f>IF(A1172=0,"GRID",IF(D1172&gt;=Control!$B$17,"FINISHED",IF(AND(A1172&gt;=INDEX(Drivers!$G$8:$G$13,B1172),A1172&lt;INDEX(Drivers!$G$8:$G$13,B1172)+INDEX(Drivers!$J$8:$J$13,B1172)),"PIT",IF(MOD(A1172+INDEX(Drivers!$F$8:$F$13,B1172),Control!$B$11)&lt;Control!$B$13,"BOOST","RACE"))))</x:f>
        <x:v>RACE</x:v>
      </x:c>
      <x:c r="F1172" s="83" t="n">
        <x:f>IF(OR(E1172="GRID",E1172="FINISHED",E1172="PIT"),0,MAX(Control!$B$15,(INDEX(Drivers!$D$8:$D$13,B1172)+INDEX(Drivers!$E$8:$E$13,B1172)*SIN((A1172+INDEX(Drivers!$F$8:$F$13,B1172)+Control!$B$16)*Control!$B$14))*INDEX(TrackMap!$M$8:$M$141,MOD(INT(D1172)-1,Control!$B$7)+1)*IF(E1172="BOOST",Control!$B$12,1)))</x:f>
        <x:v>4.199977625977453</x:v>
      </x:c>
      <x:c r="G1172" s="83" t="n">
        <x:f>IF(A1172=0,D1172,MIN(Control!$B$17,D1172+F1172))</x:f>
        <x:v>670</x:v>
      </x:c>
      <x:c r="H1172" s="73" t="n">
        <x:f>MOD(INT(G1172)-1,Control!$B$7)+1</x:f>
        <x:v>134</x:v>
      </x:c>
      <x:c r="I1172" s="73" t="n">
        <x:f>MIN(Control!$B$6,MAX(1,INT(MAX(0,G1172)/Control!$B$7)+1))</x:f>
        <x:v>5</x:v>
      </x:c>
      <x:c r="J1172" s="73" t="n">
        <x:f>INDEX(Drivers!$H$8:$H$13,B1172)</x:f>
        <x:v>1</x:v>
      </x:c>
      <x:c r="K1172" s="73" t="n">
        <x:f>IF(J1172=1,INDEX(TrackMap!$I$8:$I$141,H1172),INDEX(TrackMap!$L$8:$L$141,H1172))</x:f>
        <x:v>3117</x:v>
      </x:c>
      <x:c r="L1172" s="73" t="str">
        <x:f>INDEX(TrackMap!$F$8:$F$141,H1172)</x:f>
        <x:v>←</x:v>
      </x:c>
      <x:c r="M1172" s="87" t="n">
        <x:f>MAX(0,G1172/Control!$B$17)</x:f>
        <x:v>1</x:v>
      </x:c>
      <x:c r="N1172" s="73" t="n">
        <x:f>IF(N1166&gt;0,N1166,IF(G1172&gt;=Control!$B$17,A1172,0))</x:f>
        <x:v>194</x:v>
      </x:c>
      <x:c r="O1172" s="91" t="n">
        <x:f>IF(N1172&gt;0,Control!$B$17+Control!$B$8+1-N1172,G1172)-B1172/100000</x:f>
        <x:v>716.99999</x:v>
      </x:c>
      <x:c r="P1172" s="73" t="n">
        <x:f>COUNTIF($O$1172:$O$1177,"&gt;"&amp;O1172)+1</x:f>
        <x:v>1</x:v>
      </x:c>
      <x:c r="Q1172" s="83" t="n">
        <x:f>MAX($G$1172:$G$1177)-G1172</x:f>
        <x:v>0</x:v>
      </x:c>
      <x:c r="R1172" s="73" t="str">
        <x:f>INDEX(TrackMap!$B$8:$B$141,H1172)</x:f>
        <x:v>发车大直道</x:v>
      </x:c>
    </x:row>
    <x:row r="1173" ht="20" customHeight="1">
      <x:c r="A1173" s="73" t="n">
        <x:v>194</x:v>
      </x:c>
      <x:c r="B1173" s="73" t="n">
        <x:v>2</x:v>
      </x:c>
      <x:c r="C1173" s="73" t="str">
        <x:f>INDEX(Drivers!$B$8:$B$13,B1173)</x:f>
        <x:v>蓝电</x:v>
      </x:c>
      <x:c r="D1173" s="83" t="n">
        <x:f>G1167</x:f>
        <x:v>646.1302237961024</x:v>
      </x:c>
      <x:c r="E1173" s="83" t="str">
        <x:f>IF(A1173=0,"GRID",IF(D1173&gt;=Control!$B$17,"FINISHED",IF(AND(A1173&gt;=INDEX(Drivers!$G$8:$G$13,B1173),A1173&lt;INDEX(Drivers!$G$8:$G$13,B1173)+INDEX(Drivers!$J$8:$J$13,B1173)),"PIT",IF(MOD(A1173+INDEX(Drivers!$F$8:$F$13,B1173),Control!$B$11)&lt;Control!$B$13,"BOOST","RACE"))))</x:f>
        <x:v>RACE</x:v>
      </x:c>
      <x:c r="F1173" s="83" t="n">
        <x:f>IF(OR(E1173="GRID",E1173="FINISHED",E1173="PIT"),0,MAX(Control!$B$15,(INDEX(Drivers!$D$8:$D$13,B1173)+INDEX(Drivers!$E$8:$E$13,B1173)*SIN((A1173+INDEX(Drivers!$F$8:$F$13,B1173)+Control!$B$16)*Control!$B$14))*INDEX(TrackMap!$M$8:$M$141,MOD(INT(D1173)-1,Control!$B$7)+1)*IF(E1173="BOOST",Control!$B$12,1)))</x:f>
        <x:v>3.0718422927934084</x:v>
      </x:c>
      <x:c r="G1173" s="83" t="n">
        <x:f>IF(A1173=0,D1173,MIN(Control!$B$17,D1173+F1173))</x:f>
        <x:v>649.2020660888959</x:v>
      </x:c>
      <x:c r="H1173" s="73" t="n">
        <x:f>MOD(INT(G1173)-1,Control!$B$7)+1</x:f>
        <x:v>113</x:v>
      </x:c>
      <x:c r="I1173" s="73" t="n">
        <x:f>MIN(Control!$B$6,MAX(1,INT(MAX(0,G1173)/Control!$B$7)+1))</x:f>
        <x:v>5</x:v>
      </x:c>
      <x:c r="J1173" s="73" t="n">
        <x:f>INDEX(Drivers!$H$8:$H$13,B1173)</x:f>
        <x:v>2</x:v>
      </x:c>
      <x:c r="K1173" s="73" t="n">
        <x:f>IF(J1173=1,INDEX(TrackMap!$I$8:$I$141,H1173),INDEX(TrackMap!$L$8:$L$141,H1173))</x:f>
        <x:v>3038</x:v>
      </x:c>
      <x:c r="L1173" s="73" t="str">
        <x:f>INDEX(TrackMap!$F$8:$F$141,H1173)</x:f>
        <x:v>←</x:v>
      </x:c>
      <x:c r="M1173" s="87" t="n">
        <x:f>MAX(0,G1173/Control!$B$17)</x:f>
        <x:v>0.968958307595367</x:v>
      </x:c>
      <x:c r="N1173" s="73" t="n">
        <x:f>IF(N1167&gt;0,N1167,IF(G1173&gt;=Control!$B$17,A1173,0))</x:f>
        <x:v>0</x:v>
      </x:c>
      <x:c r="O1173" s="91" t="n">
        <x:f>IF(N1173&gt;0,Control!$B$17+Control!$B$8+1-N1173,G1173)-B1173/100000</x:f>
        <x:v>649.2020460888959</x:v>
      </x:c>
      <x:c r="P1173" s="73" t="n">
        <x:f>COUNTIF($O$1172:$O$1177,"&gt;"&amp;O1173)+1</x:f>
        <x:v>6</x:v>
      </x:c>
      <x:c r="Q1173" s="83" t="n">
        <x:f>MAX($G$1172:$G$1177)-G1173</x:f>
        <x:v>20.79793391110411</x:v>
      </x:c>
      <x:c r="R1173" s="73" t="str">
        <x:f>INDEX(TrackMap!$B$8:$B$141,H1173)</x:f>
        <x:v>发车大直道</x:v>
      </x:c>
    </x:row>
    <x:row r="1174" ht="20" customHeight="1">
      <x:c r="A1174" s="73" t="n">
        <x:v>194</x:v>
      </x:c>
      <x:c r="B1174" s="73" t="n">
        <x:v>3</x:v>
      </x:c>
      <x:c r="C1174" s="73" t="str">
        <x:f>INDEX(Drivers!$B$8:$B$13,B1174)</x:f>
        <x:v>金翼</x:v>
      </x:c>
      <x:c r="D1174" s="83" t="n">
        <x:f>G1168</x:f>
        <x:v>664.3893167329661</x:v>
      </x:c>
      <x:c r="E1174" s="83" t="str">
        <x:f>IF(A1174=0,"GRID",IF(D1174&gt;=Control!$B$17,"FINISHED",IF(AND(A1174&gt;=INDEX(Drivers!$G$8:$G$13,B1174),A1174&lt;INDEX(Drivers!$G$8:$G$13,B1174)+INDEX(Drivers!$J$8:$J$13,B1174)),"PIT",IF(MOD(A1174+INDEX(Drivers!$F$8:$F$13,B1174),Control!$B$11)&lt;Control!$B$13,"BOOST","RACE"))))</x:f>
        <x:v>RACE</x:v>
      </x:c>
      <x:c r="F1174" s="83" t="n">
        <x:f>IF(OR(E1174="GRID",E1174="FINISHED",E1174="PIT"),0,MAX(Control!$B$15,(INDEX(Drivers!$D$8:$D$13,B1174)+INDEX(Drivers!$E$8:$E$13,B1174)*SIN((A1174+INDEX(Drivers!$F$8:$F$13,B1174)+Control!$B$16)*Control!$B$14))*INDEX(TrackMap!$M$8:$M$141,MOD(INT(D1174)-1,Control!$B$7)+1)*IF(E1174="BOOST",Control!$B$12,1)))</x:f>
        <x:v>3.921342567355074</x:v>
      </x:c>
      <x:c r="G1174" s="83" t="n">
        <x:f>IF(A1174=0,D1174,MIN(Control!$B$17,D1174+F1174))</x:f>
        <x:v>668.3106593003212</x:v>
      </x:c>
      <x:c r="H1174" s="73" t="n">
        <x:f>MOD(INT(G1174)-1,Control!$B$7)+1</x:f>
        <x:v>132</x:v>
      </x:c>
      <x:c r="I1174" s="73" t="n">
        <x:f>MIN(Control!$B$6,MAX(1,INT(MAX(0,G1174)/Control!$B$7)+1))</x:f>
        <x:v>5</x:v>
      </x:c>
      <x:c r="J1174" s="73" t="n">
        <x:f>INDEX(Drivers!$H$8:$H$13,B1174)</x:f>
        <x:v>1</x:v>
      </x:c>
      <x:c r="K1174" s="73" t="n">
        <x:f>IF(J1174=1,INDEX(TrackMap!$I$8:$I$141,H1174),INDEX(TrackMap!$L$8:$L$141,H1174))</x:f>
        <x:v>3119</x:v>
      </x:c>
      <x:c r="L1174" s="73" t="str">
        <x:f>INDEX(TrackMap!$F$8:$F$141,H1174)</x:f>
        <x:v>←</x:v>
      </x:c>
      <x:c r="M1174" s="87" t="n">
        <x:f>MAX(0,G1174/Control!$B$17)</x:f>
        <x:v>0.9974785959706286</x:v>
      </x:c>
      <x:c r="N1174" s="73" t="n">
        <x:f>IF(N1168&gt;0,N1168,IF(G1174&gt;=Control!$B$17,A1174,0))</x:f>
        <x:v>0</x:v>
      </x:c>
      <x:c r="O1174" s="91" t="n">
        <x:f>IF(N1174&gt;0,Control!$B$17+Control!$B$8+1-N1174,G1174)-B1174/100000</x:f>
        <x:v>668.3106293003211</x:v>
      </x:c>
      <x:c r="P1174" s="73" t="n">
        <x:f>COUNTIF($O$1172:$O$1177,"&gt;"&amp;O1174)+1</x:f>
        <x:v>2</x:v>
      </x:c>
      <x:c r="Q1174" s="83" t="n">
        <x:f>MAX($G$1172:$G$1177)-G1174</x:f>
        <x:v>1.6893406996788372</x:v>
      </x:c>
      <x:c r="R1174" s="73" t="str">
        <x:f>INDEX(TrackMap!$B$8:$B$141,H1174)</x:f>
        <x:v>发车大直道</x:v>
      </x:c>
    </x:row>
    <x:row r="1175" ht="20" customHeight="1">
      <x:c r="A1175" s="73" t="n">
        <x:v>194</x:v>
      </x:c>
      <x:c r="B1175" s="73" t="n">
        <x:v>4</x:v>
      </x:c>
      <x:c r="C1175" s="73" t="str">
        <x:f>INDEX(Drivers!$B$8:$B$13,B1175)</x:f>
        <x:v>紫影</x:v>
      </x:c>
      <x:c r="D1175" s="83" t="n">
        <x:f>G1169</x:f>
        <x:v>650.3528061148852</x:v>
      </x:c>
      <x:c r="E1175" s="83" t="str">
        <x:f>IF(A1175=0,"GRID",IF(D1175&gt;=Control!$B$17,"FINISHED",IF(AND(A1175&gt;=INDEX(Drivers!$G$8:$G$13,B1175),A1175&lt;INDEX(Drivers!$G$8:$G$13,B1175)+INDEX(Drivers!$J$8:$J$13,B1175)),"PIT",IF(MOD(A1175+INDEX(Drivers!$F$8:$F$13,B1175),Control!$B$11)&lt;Control!$B$13,"BOOST","RACE"))))</x:f>
        <x:v>BOOST</x:v>
      </x:c>
      <x:c r="F1175" s="83" t="n">
        <x:f>IF(OR(E1175="GRID",E1175="FINISHED",E1175="PIT"),0,MAX(Control!$B$15,(INDEX(Drivers!$D$8:$D$13,B1175)+INDEX(Drivers!$E$8:$E$13,B1175)*SIN((A1175+INDEX(Drivers!$F$8:$F$13,B1175)+Control!$B$16)*Control!$B$14))*INDEX(TrackMap!$M$8:$M$141,MOD(INT(D1175)-1,Control!$B$7)+1)*IF(E1175="BOOST",Control!$B$12,1)))</x:f>
        <x:v>4.932715360764932</x:v>
      </x:c>
      <x:c r="G1175" s="83" t="n">
        <x:f>IF(A1175=0,D1175,MIN(Control!$B$17,D1175+F1175))</x:f>
        <x:v>655.2855214756502</x:v>
      </x:c>
      <x:c r="H1175" s="73" t="n">
        <x:f>MOD(INT(G1175)-1,Control!$B$7)+1</x:f>
        <x:v>119</x:v>
      </x:c>
      <x:c r="I1175" s="73" t="n">
        <x:f>MIN(Control!$B$6,MAX(1,INT(MAX(0,G1175)/Control!$B$7)+1))</x:f>
        <x:v>5</x:v>
      </x:c>
      <x:c r="J1175" s="73" t="n">
        <x:f>INDEX(Drivers!$H$8:$H$13,B1175)</x:f>
        <x:v>2</x:v>
      </x:c>
      <x:c r="K1175" s="73" t="n">
        <x:f>IF(J1175=1,INDEX(TrackMap!$I$8:$I$141,H1175),INDEX(TrackMap!$L$8:$L$141,H1175))</x:f>
        <x:v>3032</x:v>
      </x:c>
      <x:c r="L1175" s="73" t="str">
        <x:f>INDEX(TrackMap!$F$8:$F$141,H1175)</x:f>
        <x:v>←</x:v>
      </x:c>
      <x:c r="M1175" s="87" t="n">
        <x:f>MAX(0,G1175/Control!$B$17)</x:f>
        <x:v>0.9780380917547018</x:v>
      </x:c>
      <x:c r="N1175" s="73" t="n">
        <x:f>IF(N1169&gt;0,N1169,IF(G1175&gt;=Control!$B$17,A1175,0))</x:f>
        <x:v>0</x:v>
      </x:c>
      <x:c r="O1175" s="91" t="n">
        <x:f>IF(N1175&gt;0,Control!$B$17+Control!$B$8+1-N1175,G1175)-B1175/100000</x:f>
        <x:v>655.2854814756502</x:v>
      </x:c>
      <x:c r="P1175" s="73" t="n">
        <x:f>COUNTIF($O$1172:$O$1177,"&gt;"&amp;O1175)+1</x:f>
        <x:v>5</x:v>
      </x:c>
      <x:c r="Q1175" s="83" t="n">
        <x:f>MAX($G$1172:$G$1177)-G1175</x:f>
        <x:v>14.714478524349829</x:v>
      </x:c>
      <x:c r="R1175" s="73" t="str">
        <x:f>INDEX(TrackMap!$B$8:$B$141,H1175)</x:f>
        <x:v>发车大直道</x:v>
      </x:c>
    </x:row>
    <x:row r="1176" ht="20" customHeight="1">
      <x:c r="A1176" s="73" t="n">
        <x:v>194</x:v>
      </x:c>
      <x:c r="B1176" s="73" t="n">
        <x:v>5</x:v>
      </x:c>
      <x:c r="C1176" s="73" t="str">
        <x:f>INDEX(Drivers!$B$8:$B$13,B1176)</x:f>
        <x:v>青锋</x:v>
      </x:c>
      <x:c r="D1176" s="83" t="n">
        <x:f>G1170</x:f>
        <x:v>663.6417872635626</x:v>
      </x:c>
      <x:c r="E1176" s="83" t="str">
        <x:f>IF(A1176=0,"GRID",IF(D1176&gt;=Control!$B$17,"FINISHED",IF(AND(A1176&gt;=INDEX(Drivers!$G$8:$G$13,B1176),A1176&lt;INDEX(Drivers!$G$8:$G$13,B1176)+INDEX(Drivers!$J$8:$J$13,B1176)),"PIT",IF(MOD(A1176+INDEX(Drivers!$F$8:$F$13,B1176),Control!$B$11)&lt;Control!$B$13,"BOOST","RACE"))))</x:f>
        <x:v>RACE</x:v>
      </x:c>
      <x:c r="F1176" s="83" t="n">
        <x:f>IF(OR(E1176="GRID",E1176="FINISHED",E1176="PIT"),0,MAX(Control!$B$15,(INDEX(Drivers!$D$8:$D$13,B1176)+INDEX(Drivers!$E$8:$E$13,B1176)*SIN((A1176+INDEX(Drivers!$F$8:$F$13,B1176)+Control!$B$16)*Control!$B$14))*INDEX(TrackMap!$M$8:$M$141,MOD(INT(D1176)-1,Control!$B$7)+1)*IF(E1176="BOOST",Control!$B$12,1)))</x:f>
        <x:v>3.681818349567516</x:v>
      </x:c>
      <x:c r="G1176" s="83" t="n">
        <x:f>IF(A1176=0,D1176,MIN(Control!$B$17,D1176+F1176))</x:f>
        <x:v>667.3236056131301</x:v>
      </x:c>
      <x:c r="H1176" s="73" t="n">
        <x:f>MOD(INT(G1176)-1,Control!$B$7)+1</x:f>
        <x:v>131</x:v>
      </x:c>
      <x:c r="I1176" s="73" t="n">
        <x:f>MIN(Control!$B$6,MAX(1,INT(MAX(0,G1176)/Control!$B$7)+1))</x:f>
        <x:v>5</x:v>
      </x:c>
      <x:c r="J1176" s="73" t="n">
        <x:f>INDEX(Drivers!$H$8:$H$13,B1176)</x:f>
        <x:v>1</x:v>
      </x:c>
      <x:c r="K1176" s="73" t="n">
        <x:f>IF(J1176=1,INDEX(TrackMap!$I$8:$I$141,H1176),INDEX(TrackMap!$L$8:$L$141,H1176))</x:f>
        <x:v>3120</x:v>
      </x:c>
      <x:c r="L1176" s="73" t="str">
        <x:f>INDEX(TrackMap!$F$8:$F$141,H1176)</x:f>
        <x:v>←</x:v>
      </x:c>
      <x:c r="M1176" s="87" t="n">
        <x:f>MAX(0,G1176/Control!$B$17)</x:f>
        <x:v>0.9960053815121345</x:v>
      </x:c>
      <x:c r="N1176" s="73" t="n">
        <x:f>IF(N1170&gt;0,N1170,IF(G1176&gt;=Control!$B$17,A1176,0))</x:f>
        <x:v>0</x:v>
      </x:c>
      <x:c r="O1176" s="91" t="n">
        <x:f>IF(N1176&gt;0,Control!$B$17+Control!$B$8+1-N1176,G1176)-B1176/100000</x:f>
        <x:v>667.3235556131301</x:v>
      </x:c>
      <x:c r="P1176" s="73" t="n">
        <x:f>COUNTIF($O$1172:$O$1177,"&gt;"&amp;O1176)+1</x:f>
        <x:v>3</x:v>
      </x:c>
      <x:c r="Q1176" s="83" t="n">
        <x:f>MAX($G$1172:$G$1177)-G1176</x:f>
        <x:v>2.6763943868699016</x:v>
      </x:c>
      <x:c r="R1176" s="73" t="str">
        <x:f>INDEX(TrackMap!$B$8:$B$141,H1176)</x:f>
        <x:v>发车大直道</x:v>
      </x:c>
    </x:row>
    <x:row r="1177" ht="20" customHeight="1">
      <x:c r="A1177" s="73" t="n">
        <x:v>194</x:v>
      </x:c>
      <x:c r="B1177" s="73" t="n">
        <x:v>6</x:v>
      </x:c>
      <x:c r="C1177" s="73" t="str">
        <x:f>INDEX(Drivers!$B$8:$B$13,B1177)</x:f>
        <x:v>玫速</x:v>
      </x:c>
      <x:c r="D1177" s="83" t="n">
        <x:f>G1171</x:f>
        <x:v>659.9188289559312</x:v>
      </x:c>
      <x:c r="E1177" s="83" t="str">
        <x:f>IF(A1177=0,"GRID",IF(D1177&gt;=Control!$B$17,"FINISHED",IF(AND(A1177&gt;=INDEX(Drivers!$G$8:$G$13,B1177),A1177&lt;INDEX(Drivers!$G$8:$G$13,B1177)+INDEX(Drivers!$J$8:$J$13,B1177)),"PIT",IF(MOD(A1177+INDEX(Drivers!$F$8:$F$13,B1177),Control!$B$11)&lt;Control!$B$13,"BOOST","RACE"))))</x:f>
        <x:v>RACE</x:v>
      </x:c>
      <x:c r="F1177" s="83" t="n">
        <x:f>IF(OR(E1177="GRID",E1177="FINISHED",E1177="PIT"),0,MAX(Control!$B$15,(INDEX(Drivers!$D$8:$D$13,B1177)+INDEX(Drivers!$E$8:$E$13,B1177)*SIN((A1177+INDEX(Drivers!$F$8:$F$13,B1177)+Control!$B$16)*Control!$B$14))*INDEX(TrackMap!$M$8:$M$141,MOD(INT(D1177)-1,Control!$B$7)+1)*IF(E1177="BOOST",Control!$B$12,1)))</x:f>
        <x:v>3.3162155111575364</x:v>
      </x:c>
      <x:c r="G1177" s="83" t="n">
        <x:f>IF(A1177=0,D1177,MIN(Control!$B$17,D1177+F1177))</x:f>
        <x:v>663.2350444670888</x:v>
      </x:c>
      <x:c r="H1177" s="73" t="n">
        <x:f>MOD(INT(G1177)-1,Control!$B$7)+1</x:f>
        <x:v>127</x:v>
      </x:c>
      <x:c r="I1177" s="73" t="n">
        <x:f>MIN(Control!$B$6,MAX(1,INT(MAX(0,G1177)/Control!$B$7)+1))</x:f>
        <x:v>5</x:v>
      </x:c>
      <x:c r="J1177" s="73" t="n">
        <x:f>INDEX(Drivers!$H$8:$H$13,B1177)</x:f>
        <x:v>2</x:v>
      </x:c>
      <x:c r="K1177" s="73" t="n">
        <x:f>IF(J1177=1,INDEX(TrackMap!$I$8:$I$141,H1177),INDEX(TrackMap!$L$8:$L$141,H1177))</x:f>
        <x:v>3024</x:v>
      </x:c>
      <x:c r="L1177" s="73" t="str">
        <x:f>INDEX(TrackMap!$F$8:$F$141,H1177)</x:f>
        <x:v>←</x:v>
      </x:c>
      <x:c r="M1177" s="87" t="n">
        <x:f>MAX(0,G1177/Control!$B$17)</x:f>
        <x:v>0.9899030514434161</x:v>
      </x:c>
      <x:c r="N1177" s="73" t="n">
        <x:f>IF(N1171&gt;0,N1171,IF(G1177&gt;=Control!$B$17,A1177,0))</x:f>
        <x:v>0</x:v>
      </x:c>
      <x:c r="O1177" s="91" t="n">
        <x:f>IF(N1177&gt;0,Control!$B$17+Control!$B$8+1-N1177,G1177)-B1177/100000</x:f>
        <x:v>663.2349844670888</x:v>
      </x:c>
      <x:c r="P1177" s="73" t="n">
        <x:f>COUNTIF($O$1172:$O$1177,"&gt;"&amp;O1177)+1</x:f>
        <x:v>4</x:v>
      </x:c>
      <x:c r="Q1177" s="83" t="n">
        <x:f>MAX($G$1172:$G$1177)-G1177</x:f>
        <x:v>6.7649555329112445</x:v>
      </x:c>
      <x:c r="R1177" s="73" t="str">
        <x:f>INDEX(TrackMap!$B$8:$B$141,H1177)</x:f>
        <x:v>发车大直道</x:v>
      </x:c>
    </x:row>
    <x:row r="1178" ht="20" customHeight="1">
      <x:c r="A1178" s="73" t="n">
        <x:v>195</x:v>
      </x:c>
      <x:c r="B1178" s="73" t="n">
        <x:v>1</x:v>
      </x:c>
      <x:c r="C1178" s="73" t="str">
        <x:f>INDEX(Drivers!$B$8:$B$13,B1178)</x:f>
        <x:v>赤焰</x:v>
      </x:c>
      <x:c r="D1178" s="83" t="n">
        <x:f>G1172</x:f>
        <x:v>670</x:v>
      </x:c>
      <x:c r="E1178" s="83" t="str">
        <x:f>IF(A1178=0,"GRID",IF(D1178&gt;=Control!$B$17,"FINISHED",IF(AND(A1178&gt;=INDEX(Drivers!$G$8:$G$13,B1178),A1178&lt;INDEX(Drivers!$G$8:$G$13,B1178)+INDEX(Drivers!$J$8:$J$13,B1178)),"PIT",IF(MOD(A1178+INDEX(Drivers!$F$8:$F$13,B1178),Control!$B$11)&lt;Control!$B$13,"BOOST","RACE"))))</x:f>
        <x:v>FINISHED</x:v>
      </x:c>
      <x:c r="F1178" s="83" t="n">
        <x:f>IF(OR(E1178="GRID",E1178="FINISHED",E1178="PIT"),0,MAX(Control!$B$15,(INDEX(Drivers!$D$8:$D$13,B1178)+INDEX(Drivers!$E$8:$E$13,B1178)*SIN((A1178+INDEX(Drivers!$F$8:$F$13,B1178)+Control!$B$16)*Control!$B$14))*INDEX(TrackMap!$M$8:$M$141,MOD(INT(D1178)-1,Control!$B$7)+1)*IF(E1178="BOOST",Control!$B$12,1)))</x:f>
        <x:v>0</x:v>
      </x:c>
      <x:c r="G1178" s="83" t="n">
        <x:f>IF(A1178=0,D1178,MIN(Control!$B$17,D1178+F1178))</x:f>
        <x:v>670</x:v>
      </x:c>
      <x:c r="H1178" s="73" t="n">
        <x:f>MOD(INT(G1178)-1,Control!$B$7)+1</x:f>
        <x:v>134</x:v>
      </x:c>
      <x:c r="I1178" s="73" t="n">
        <x:f>MIN(Control!$B$6,MAX(1,INT(MAX(0,G1178)/Control!$B$7)+1))</x:f>
        <x:v>5</x:v>
      </x:c>
      <x:c r="J1178" s="73" t="n">
        <x:f>INDEX(Drivers!$H$8:$H$13,B1178)</x:f>
        <x:v>1</x:v>
      </x:c>
      <x:c r="K1178" s="73" t="n">
        <x:f>IF(J1178=1,INDEX(TrackMap!$I$8:$I$141,H1178),INDEX(TrackMap!$L$8:$L$141,H1178))</x:f>
        <x:v>3117</x:v>
      </x:c>
      <x:c r="L1178" s="73" t="str">
        <x:f>INDEX(TrackMap!$F$8:$F$141,H1178)</x:f>
        <x:v>←</x:v>
      </x:c>
      <x:c r="M1178" s="87" t="n">
        <x:f>MAX(0,G1178/Control!$B$17)</x:f>
        <x:v>1</x:v>
      </x:c>
      <x:c r="N1178" s="73" t="n">
        <x:f>IF(N1172&gt;0,N1172,IF(G1178&gt;=Control!$B$17,A1178,0))</x:f>
        <x:v>194</x:v>
      </x:c>
      <x:c r="O1178" s="91" t="n">
        <x:f>IF(N1178&gt;0,Control!$B$17+Control!$B$8+1-N1178,G1178)-B1178/100000</x:f>
        <x:v>716.99999</x:v>
      </x:c>
      <x:c r="P1178" s="73" t="n">
        <x:f>COUNTIF($O$1178:$O$1183,"&gt;"&amp;O1178)+1</x:f>
        <x:v>1</x:v>
      </x:c>
      <x:c r="Q1178" s="83" t="n">
        <x:f>MAX($G$1178:$G$1183)-G1178</x:f>
        <x:v>0</x:v>
      </x:c>
      <x:c r="R1178" s="73" t="str">
        <x:f>INDEX(TrackMap!$B$8:$B$141,H1178)</x:f>
        <x:v>发车大直道</x:v>
      </x:c>
    </x:row>
    <x:row r="1179" ht="20" customHeight="1">
      <x:c r="A1179" s="73" t="n">
        <x:v>195</x:v>
      </x:c>
      <x:c r="B1179" s="73" t="n">
        <x:v>2</x:v>
      </x:c>
      <x:c r="C1179" s="73" t="str">
        <x:f>INDEX(Drivers!$B$8:$B$13,B1179)</x:f>
        <x:v>蓝电</x:v>
      </x:c>
      <x:c r="D1179" s="83" t="n">
        <x:f>G1173</x:f>
        <x:v>649.2020660888959</x:v>
      </x:c>
      <x:c r="E1179" s="83" t="str">
        <x:f>IF(A1179=0,"GRID",IF(D1179&gt;=Control!$B$17,"FINISHED",IF(AND(A1179&gt;=INDEX(Drivers!$G$8:$G$13,B1179),A1179&lt;INDEX(Drivers!$G$8:$G$13,B1179)+INDEX(Drivers!$J$8:$J$13,B1179)),"PIT",IF(MOD(A1179+INDEX(Drivers!$F$8:$F$13,B1179),Control!$B$11)&lt;Control!$B$13,"BOOST","RACE"))))</x:f>
        <x:v>RACE</x:v>
      </x:c>
      <x:c r="F1179" s="83" t="n">
        <x:f>IF(OR(E1179="GRID",E1179="FINISHED",E1179="PIT"),0,MAX(Control!$B$15,(INDEX(Drivers!$D$8:$D$13,B1179)+INDEX(Drivers!$E$8:$E$13,B1179)*SIN((A1179+INDEX(Drivers!$F$8:$F$13,B1179)+Control!$B$16)*Control!$B$14))*INDEX(TrackMap!$M$8:$M$141,MOD(INT(D1179)-1,Control!$B$7)+1)*IF(E1179="BOOST",Control!$B$12,1)))</x:f>
        <x:v>2.9908669940223183</x:v>
      </x:c>
      <x:c r="G1179" s="83" t="n">
        <x:f>IF(A1179=0,D1179,MIN(Control!$B$17,D1179+F1179))</x:f>
        <x:v>652.1929330829182</x:v>
      </x:c>
      <x:c r="H1179" s="73" t="n">
        <x:f>MOD(INT(G1179)-1,Control!$B$7)+1</x:f>
        <x:v>116</x:v>
      </x:c>
      <x:c r="I1179" s="73" t="n">
        <x:f>MIN(Control!$B$6,MAX(1,INT(MAX(0,G1179)/Control!$B$7)+1))</x:f>
        <x:v>5</x:v>
      </x:c>
      <x:c r="J1179" s="73" t="n">
        <x:f>INDEX(Drivers!$H$8:$H$13,B1179)</x:f>
        <x:v>2</x:v>
      </x:c>
      <x:c r="K1179" s="73" t="n">
        <x:f>IF(J1179=1,INDEX(TrackMap!$I$8:$I$141,H1179),INDEX(TrackMap!$L$8:$L$141,H1179))</x:f>
        <x:v>3035</x:v>
      </x:c>
      <x:c r="L1179" s="73" t="str">
        <x:f>INDEX(TrackMap!$F$8:$F$141,H1179)</x:f>
        <x:v>←</x:v>
      </x:c>
      <x:c r="M1179" s="87" t="n">
        <x:f>MAX(0,G1179/Control!$B$17)</x:f>
        <x:v>0.97342228818346</x:v>
      </x:c>
      <x:c r="N1179" s="73" t="n">
        <x:f>IF(N1173&gt;0,N1173,IF(G1179&gt;=Control!$B$17,A1179,0))</x:f>
        <x:v>0</x:v>
      </x:c>
      <x:c r="O1179" s="91" t="n">
        <x:f>IF(N1179&gt;0,Control!$B$17+Control!$B$8+1-N1179,G1179)-B1179/100000</x:f>
        <x:v>652.1929130829183</x:v>
      </x:c>
      <x:c r="P1179" s="73" t="n">
        <x:f>COUNTIF($O$1178:$O$1183,"&gt;"&amp;O1179)+1</x:f>
        <x:v>6</x:v>
      </x:c>
      <x:c r="Q1179" s="83" t="n">
        <x:f>MAX($G$1178:$G$1183)-G1179</x:f>
        <x:v>17.807066917081784</x:v>
      </x:c>
      <x:c r="R1179" s="73" t="str">
        <x:f>INDEX(TrackMap!$B$8:$B$141,H1179)</x:f>
        <x:v>发车大直道</x:v>
      </x:c>
    </x:row>
    <x:row r="1180" ht="20" customHeight="1">
      <x:c r="A1180" s="73" t="n">
        <x:v>195</x:v>
      </x:c>
      <x:c r="B1180" s="73" t="n">
        <x:v>3</x:v>
      </x:c>
      <x:c r="C1180" s="73" t="str">
        <x:f>INDEX(Drivers!$B$8:$B$13,B1180)</x:f>
        <x:v>金翼</x:v>
      </x:c>
      <x:c r="D1180" s="83" t="n">
        <x:f>G1174</x:f>
        <x:v>668.3106593003212</x:v>
      </x:c>
      <x:c r="E1180" s="83" t="str">
        <x:f>IF(A1180=0,"GRID",IF(D1180&gt;=Control!$B$17,"FINISHED",IF(AND(A1180&gt;=INDEX(Drivers!$G$8:$G$13,B1180),A1180&lt;INDEX(Drivers!$G$8:$G$13,B1180)+INDEX(Drivers!$J$8:$J$13,B1180)),"PIT",IF(MOD(A1180+INDEX(Drivers!$F$8:$F$13,B1180),Control!$B$11)&lt;Control!$B$13,"BOOST","RACE"))))</x:f>
        <x:v>RACE</x:v>
      </x:c>
      <x:c r="F1180" s="83" t="n">
        <x:f>IF(OR(E1180="GRID",E1180="FINISHED",E1180="PIT"),0,MAX(Control!$B$15,(INDEX(Drivers!$D$8:$D$13,B1180)+INDEX(Drivers!$E$8:$E$13,B1180)*SIN((A1180+INDEX(Drivers!$F$8:$F$13,B1180)+Control!$B$16)*Control!$B$14))*INDEX(TrackMap!$M$8:$M$141,MOD(INT(D1180)-1,Control!$B$7)+1)*IF(E1180="BOOST",Control!$B$12,1)))</x:f>
        <x:v>4.068489871741721</x:v>
      </x:c>
      <x:c r="G1180" s="83" t="n">
        <x:f>IF(A1180=0,D1180,MIN(Control!$B$17,D1180+F1180))</x:f>
        <x:v>670</x:v>
      </x:c>
      <x:c r="H1180" s="73" t="n">
        <x:f>MOD(INT(G1180)-1,Control!$B$7)+1</x:f>
        <x:v>134</x:v>
      </x:c>
      <x:c r="I1180" s="73" t="n">
        <x:f>MIN(Control!$B$6,MAX(1,INT(MAX(0,G1180)/Control!$B$7)+1))</x:f>
        <x:v>5</x:v>
      </x:c>
      <x:c r="J1180" s="73" t="n">
        <x:f>INDEX(Drivers!$H$8:$H$13,B1180)</x:f>
        <x:v>1</x:v>
      </x:c>
      <x:c r="K1180" s="73" t="n">
        <x:f>IF(J1180=1,INDEX(TrackMap!$I$8:$I$141,H1180),INDEX(TrackMap!$L$8:$L$141,H1180))</x:f>
        <x:v>3117</x:v>
      </x:c>
      <x:c r="L1180" s="73" t="str">
        <x:f>INDEX(TrackMap!$F$8:$F$141,H1180)</x:f>
        <x:v>←</x:v>
      </x:c>
      <x:c r="M1180" s="87" t="n">
        <x:f>MAX(0,G1180/Control!$B$17)</x:f>
        <x:v>1</x:v>
      </x:c>
      <x:c r="N1180" s="73" t="n">
        <x:f>IF(N1174&gt;0,N1174,IF(G1180&gt;=Control!$B$17,A1180,0))</x:f>
        <x:v>195</x:v>
      </x:c>
      <x:c r="O1180" s="91" t="n">
        <x:f>IF(N1180&gt;0,Control!$B$17+Control!$B$8+1-N1180,G1180)-B1180/100000</x:f>
        <x:v>715.99997</x:v>
      </x:c>
      <x:c r="P1180" s="73" t="n">
        <x:f>COUNTIF($O$1178:$O$1183,"&gt;"&amp;O1180)+1</x:f>
        <x:v>2</x:v>
      </x:c>
      <x:c r="Q1180" s="83" t="n">
        <x:f>MAX($G$1178:$G$1183)-G1180</x:f>
        <x:v>0</x:v>
      </x:c>
      <x:c r="R1180" s="73" t="str">
        <x:f>INDEX(TrackMap!$B$8:$B$141,H1180)</x:f>
        <x:v>发车大直道</x:v>
      </x:c>
    </x:row>
    <x:row r="1181" ht="20" customHeight="1">
      <x:c r="A1181" s="73" t="n">
        <x:v>195</x:v>
      </x:c>
      <x:c r="B1181" s="73" t="n">
        <x:v>4</x:v>
      </x:c>
      <x:c r="C1181" s="73" t="str">
        <x:f>INDEX(Drivers!$B$8:$B$13,B1181)</x:f>
        <x:v>紫影</x:v>
      </x:c>
      <x:c r="D1181" s="83" t="n">
        <x:f>G1175</x:f>
        <x:v>655.2855214756502</x:v>
      </x:c>
      <x:c r="E1181" s="83" t="str">
        <x:f>IF(A1181=0,"GRID",IF(D1181&gt;=Control!$B$17,"FINISHED",IF(AND(A1181&gt;=INDEX(Drivers!$G$8:$G$13,B1181),A1181&lt;INDEX(Drivers!$G$8:$G$13,B1181)+INDEX(Drivers!$J$8:$J$13,B1181)),"PIT",IF(MOD(A1181+INDEX(Drivers!$F$8:$F$13,B1181),Control!$B$11)&lt;Control!$B$13,"BOOST","RACE"))))</x:f>
        <x:v>BOOST</x:v>
      </x:c>
      <x:c r="F1181" s="83" t="n">
        <x:f>IF(OR(E1181="GRID",E1181="FINISHED",E1181="PIT"),0,MAX(Control!$B$15,(INDEX(Drivers!$D$8:$D$13,B1181)+INDEX(Drivers!$E$8:$E$13,B1181)*SIN((A1181+INDEX(Drivers!$F$8:$F$13,B1181)+Control!$B$16)*Control!$B$14))*INDEX(TrackMap!$M$8:$M$141,MOD(INT(D1181)-1,Control!$B$7)+1)*IF(E1181="BOOST",Control!$B$12,1)))</x:f>
        <x:v>4.645873257136022</x:v>
      </x:c>
      <x:c r="G1181" s="83" t="n">
        <x:f>IF(A1181=0,D1181,MIN(Control!$B$17,D1181+F1181))</x:f>
        <x:v>659.9313947327862</x:v>
      </x:c>
      <x:c r="H1181" s="73" t="n">
        <x:f>MOD(INT(G1181)-1,Control!$B$7)+1</x:f>
        <x:v>123</x:v>
      </x:c>
      <x:c r="I1181" s="73" t="n">
        <x:f>MIN(Control!$B$6,MAX(1,INT(MAX(0,G1181)/Control!$B$7)+1))</x:f>
        <x:v>5</x:v>
      </x:c>
      <x:c r="J1181" s="73" t="n">
        <x:f>INDEX(Drivers!$H$8:$H$13,B1181)</x:f>
        <x:v>2</x:v>
      </x:c>
      <x:c r="K1181" s="73" t="n">
        <x:f>IF(J1181=1,INDEX(TrackMap!$I$8:$I$141,H1181),INDEX(TrackMap!$L$8:$L$141,H1181))</x:f>
        <x:v>3028</x:v>
      </x:c>
      <x:c r="L1181" s="73" t="str">
        <x:f>INDEX(TrackMap!$F$8:$F$141,H1181)</x:f>
        <x:v>←</x:v>
      </x:c>
      <x:c r="M1181" s="87" t="n">
        <x:f>MAX(0,G1181/Control!$B$17)</x:f>
        <x:v>0.9849722309444571</x:v>
      </x:c>
      <x:c r="N1181" s="73" t="n">
        <x:f>IF(N1175&gt;0,N1175,IF(G1181&gt;=Control!$B$17,A1181,0))</x:f>
        <x:v>0</x:v>
      </x:c>
      <x:c r="O1181" s="91" t="n">
        <x:f>IF(N1181&gt;0,Control!$B$17+Control!$B$8+1-N1181,G1181)-B1181/100000</x:f>
        <x:v>659.9313547327862</x:v>
      </x:c>
      <x:c r="P1181" s="73" t="n">
        <x:f>COUNTIF($O$1178:$O$1183,"&gt;"&amp;O1181)+1</x:f>
        <x:v>5</x:v>
      </x:c>
      <x:c r="Q1181" s="83" t="n">
        <x:f>MAX($G$1178:$G$1183)-G1181</x:f>
        <x:v>10.068605267213798</x:v>
      </x:c>
      <x:c r="R1181" s="73" t="str">
        <x:f>INDEX(TrackMap!$B$8:$B$141,H1181)</x:f>
        <x:v>发车大直道</x:v>
      </x:c>
    </x:row>
    <x:row r="1182" ht="20" customHeight="1">
      <x:c r="A1182" s="73" t="n">
        <x:v>195</x:v>
      </x:c>
      <x:c r="B1182" s="73" t="n">
        <x:v>5</x:v>
      </x:c>
      <x:c r="C1182" s="73" t="str">
        <x:f>INDEX(Drivers!$B$8:$B$13,B1182)</x:f>
        <x:v>青锋</x:v>
      </x:c>
      <x:c r="D1182" s="83" t="n">
        <x:f>G1176</x:f>
        <x:v>667.3236056131301</x:v>
      </x:c>
      <x:c r="E1182" s="83" t="str">
        <x:f>IF(A1182=0,"GRID",IF(D1182&gt;=Control!$B$17,"FINISHED",IF(AND(A1182&gt;=INDEX(Drivers!$G$8:$G$13,B1182),A1182&lt;INDEX(Drivers!$G$8:$G$13,B1182)+INDEX(Drivers!$J$8:$J$13,B1182)),"PIT",IF(MOD(A1182+INDEX(Drivers!$F$8:$F$13,B1182),Control!$B$11)&lt;Control!$B$13,"BOOST","RACE"))))</x:f>
        <x:v>RACE</x:v>
      </x:c>
      <x:c r="F1182" s="83" t="n">
        <x:f>IF(OR(E1182="GRID",E1182="FINISHED",E1182="PIT"),0,MAX(Control!$B$15,(INDEX(Drivers!$D$8:$D$13,B1182)+INDEX(Drivers!$E$8:$E$13,B1182)*SIN((A1182+INDEX(Drivers!$F$8:$F$13,B1182)+Control!$B$16)*Control!$B$14))*INDEX(TrackMap!$M$8:$M$141,MOD(INT(D1182)-1,Control!$B$7)+1)*IF(E1182="BOOST",Control!$B$12,1)))</x:f>
        <x:v>3.4912076119290303</x:v>
      </x:c>
      <x:c r="G1182" s="83" t="n">
        <x:f>IF(A1182=0,D1182,MIN(Control!$B$17,D1182+F1182))</x:f>
        <x:v>670</x:v>
      </x:c>
      <x:c r="H1182" s="73" t="n">
        <x:f>MOD(INT(G1182)-1,Control!$B$7)+1</x:f>
        <x:v>134</x:v>
      </x:c>
      <x:c r="I1182" s="73" t="n">
        <x:f>MIN(Control!$B$6,MAX(1,INT(MAX(0,G1182)/Control!$B$7)+1))</x:f>
        <x:v>5</x:v>
      </x:c>
      <x:c r="J1182" s="73" t="n">
        <x:f>INDEX(Drivers!$H$8:$H$13,B1182)</x:f>
        <x:v>1</x:v>
      </x:c>
      <x:c r="K1182" s="73" t="n">
        <x:f>IF(J1182=1,INDEX(TrackMap!$I$8:$I$141,H1182),INDEX(TrackMap!$L$8:$L$141,H1182))</x:f>
        <x:v>3117</x:v>
      </x:c>
      <x:c r="L1182" s="73" t="str">
        <x:f>INDEX(TrackMap!$F$8:$F$141,H1182)</x:f>
        <x:v>←</x:v>
      </x:c>
      <x:c r="M1182" s="87" t="n">
        <x:f>MAX(0,G1182/Control!$B$17)</x:f>
        <x:v>1</x:v>
      </x:c>
      <x:c r="N1182" s="73" t="n">
        <x:f>IF(N1176&gt;0,N1176,IF(G1182&gt;=Control!$B$17,A1182,0))</x:f>
        <x:v>195</x:v>
      </x:c>
      <x:c r="O1182" s="91" t="n">
        <x:f>IF(N1182&gt;0,Control!$B$17+Control!$B$8+1-N1182,G1182)-B1182/100000</x:f>
        <x:v>715.99995</x:v>
      </x:c>
      <x:c r="P1182" s="73" t="n">
        <x:f>COUNTIF($O$1178:$O$1183,"&gt;"&amp;O1182)+1</x:f>
        <x:v>3</x:v>
      </x:c>
      <x:c r="Q1182" s="83" t="n">
        <x:f>MAX($G$1178:$G$1183)-G1182</x:f>
        <x:v>0</x:v>
      </x:c>
      <x:c r="R1182" s="73" t="str">
        <x:f>INDEX(TrackMap!$B$8:$B$141,H1182)</x:f>
        <x:v>发车大直道</x:v>
      </x:c>
    </x:row>
    <x:row r="1183" ht="20" customHeight="1">
      <x:c r="A1183" s="73" t="n">
        <x:v>195</x:v>
      </x:c>
      <x:c r="B1183" s="73" t="n">
        <x:v>6</x:v>
      </x:c>
      <x:c r="C1183" s="73" t="str">
        <x:f>INDEX(Drivers!$B$8:$B$13,B1183)</x:f>
        <x:v>玫速</x:v>
      </x:c>
      <x:c r="D1183" s="83" t="n">
        <x:f>G1177</x:f>
        <x:v>663.2350444670888</x:v>
      </x:c>
      <x:c r="E1183" s="83" t="str">
        <x:f>IF(A1183=0,"GRID",IF(D1183&gt;=Control!$B$17,"FINISHED",IF(AND(A1183&gt;=INDEX(Drivers!$G$8:$G$13,B1183),A1183&lt;INDEX(Drivers!$G$8:$G$13,B1183)+INDEX(Drivers!$J$8:$J$13,B1183)),"PIT",IF(MOD(A1183+INDEX(Drivers!$F$8:$F$13,B1183),Control!$B$11)&lt;Control!$B$13,"BOOST","RACE"))))</x:f>
        <x:v>RACE</x:v>
      </x:c>
      <x:c r="F1183" s="83" t="n">
        <x:f>IF(OR(E1183="GRID",E1183="FINISHED",E1183="PIT"),0,MAX(Control!$B$15,(INDEX(Drivers!$D$8:$D$13,B1183)+INDEX(Drivers!$E$8:$E$13,B1183)*SIN((A1183+INDEX(Drivers!$F$8:$F$13,B1183)+Control!$B$16)*Control!$B$14))*INDEX(TrackMap!$M$8:$M$141,MOD(INT(D1183)-1,Control!$B$7)+1)*IF(E1183="BOOST",Control!$B$12,1)))</x:f>
        <x:v>3.513374303297794</x:v>
      </x:c>
      <x:c r="G1183" s="83" t="n">
        <x:f>IF(A1183=0,D1183,MIN(Control!$B$17,D1183+F1183))</x:f>
        <x:v>666.7484187703866</x:v>
      </x:c>
      <x:c r="H1183" s="73" t="n">
        <x:f>MOD(INT(G1183)-1,Control!$B$7)+1</x:f>
        <x:v>130</x:v>
      </x:c>
      <x:c r="I1183" s="73" t="n">
        <x:f>MIN(Control!$B$6,MAX(1,INT(MAX(0,G1183)/Control!$B$7)+1))</x:f>
        <x:v>5</x:v>
      </x:c>
      <x:c r="J1183" s="73" t="n">
        <x:f>INDEX(Drivers!$H$8:$H$13,B1183)</x:f>
        <x:v>2</x:v>
      </x:c>
      <x:c r="K1183" s="73" t="n">
        <x:f>IF(J1183=1,INDEX(TrackMap!$I$8:$I$141,H1183),INDEX(TrackMap!$L$8:$L$141,H1183))</x:f>
        <x:v>3021</x:v>
      </x:c>
      <x:c r="L1183" s="73" t="str">
        <x:f>INDEX(TrackMap!$F$8:$F$141,H1183)</x:f>
        <x:v>←</x:v>
      </x:c>
      <x:c r="M1183" s="87" t="n">
        <x:f>MAX(0,G1183/Control!$B$17)</x:f>
        <x:v>0.9951468936871442</x:v>
      </x:c>
      <x:c r="N1183" s="73" t="n">
        <x:f>IF(N1177&gt;0,N1177,IF(G1183&gt;=Control!$B$17,A1183,0))</x:f>
        <x:v>0</x:v>
      </x:c>
      <x:c r="O1183" s="91" t="n">
        <x:f>IF(N1183&gt;0,Control!$B$17+Control!$B$8+1-N1183,G1183)-B1183/100000</x:f>
        <x:v>666.7483587703866</x:v>
      </x:c>
      <x:c r="P1183" s="73" t="n">
        <x:f>COUNTIF($O$1178:$O$1183,"&gt;"&amp;O1183)+1</x:f>
        <x:v>4</x:v>
      </x:c>
      <x:c r="Q1183" s="83" t="n">
        <x:f>MAX($G$1178:$G$1183)-G1183</x:f>
        <x:v>3.2515812296134072</x:v>
      </x:c>
      <x:c r="R1183" s="73" t="str">
        <x:f>INDEX(TrackMap!$B$8:$B$141,H1183)</x:f>
        <x:v>发车大直道</x:v>
      </x:c>
    </x:row>
    <x:row r="1184" ht="20" customHeight="1">
      <x:c r="A1184" s="73" t="n">
        <x:v>196</x:v>
      </x:c>
      <x:c r="B1184" s="73" t="n">
        <x:v>1</x:v>
      </x:c>
      <x:c r="C1184" s="73" t="str">
        <x:f>INDEX(Drivers!$B$8:$B$13,B1184)</x:f>
        <x:v>赤焰</x:v>
      </x:c>
      <x:c r="D1184" s="83" t="n">
        <x:f>G1178</x:f>
        <x:v>670</x:v>
      </x:c>
      <x:c r="E1184" s="83" t="str">
        <x:f>IF(A1184=0,"GRID",IF(D1184&gt;=Control!$B$17,"FINISHED",IF(AND(A1184&gt;=INDEX(Drivers!$G$8:$G$13,B1184),A1184&lt;INDEX(Drivers!$G$8:$G$13,B1184)+INDEX(Drivers!$J$8:$J$13,B1184)),"PIT",IF(MOD(A1184+INDEX(Drivers!$F$8:$F$13,B1184),Control!$B$11)&lt;Control!$B$13,"BOOST","RACE"))))</x:f>
        <x:v>FINISHED</x:v>
      </x:c>
      <x:c r="F1184" s="83" t="n">
        <x:f>IF(OR(E1184="GRID",E1184="FINISHED",E1184="PIT"),0,MAX(Control!$B$15,(INDEX(Drivers!$D$8:$D$13,B1184)+INDEX(Drivers!$E$8:$E$13,B1184)*SIN((A1184+INDEX(Drivers!$F$8:$F$13,B1184)+Control!$B$16)*Control!$B$14))*INDEX(TrackMap!$M$8:$M$141,MOD(INT(D1184)-1,Control!$B$7)+1)*IF(E1184="BOOST",Control!$B$12,1)))</x:f>
        <x:v>0</x:v>
      </x:c>
      <x:c r="G1184" s="83" t="n">
        <x:f>IF(A1184=0,D1184,MIN(Control!$B$17,D1184+F1184))</x:f>
        <x:v>670</x:v>
      </x:c>
      <x:c r="H1184" s="73" t="n">
        <x:f>MOD(INT(G1184)-1,Control!$B$7)+1</x:f>
        <x:v>134</x:v>
      </x:c>
      <x:c r="I1184" s="73" t="n">
        <x:f>MIN(Control!$B$6,MAX(1,INT(MAX(0,G1184)/Control!$B$7)+1))</x:f>
        <x:v>5</x:v>
      </x:c>
      <x:c r="J1184" s="73" t="n">
        <x:f>INDEX(Drivers!$H$8:$H$13,B1184)</x:f>
        <x:v>1</x:v>
      </x:c>
      <x:c r="K1184" s="73" t="n">
        <x:f>IF(J1184=1,INDEX(TrackMap!$I$8:$I$141,H1184),INDEX(TrackMap!$L$8:$L$141,H1184))</x:f>
        <x:v>3117</x:v>
      </x:c>
      <x:c r="L1184" s="73" t="str">
        <x:f>INDEX(TrackMap!$F$8:$F$141,H1184)</x:f>
        <x:v>←</x:v>
      </x:c>
      <x:c r="M1184" s="87" t="n">
        <x:f>MAX(0,G1184/Control!$B$17)</x:f>
        <x:v>1</x:v>
      </x:c>
      <x:c r="N1184" s="73" t="n">
        <x:f>IF(N1178&gt;0,N1178,IF(G1184&gt;=Control!$B$17,A1184,0))</x:f>
        <x:v>194</x:v>
      </x:c>
      <x:c r="O1184" s="91" t="n">
        <x:f>IF(N1184&gt;0,Control!$B$17+Control!$B$8+1-N1184,G1184)-B1184/100000</x:f>
        <x:v>716.99999</x:v>
      </x:c>
      <x:c r="P1184" s="73" t="n">
        <x:f>COUNTIF($O$1184:$O$1189,"&gt;"&amp;O1184)+1</x:f>
        <x:v>1</x:v>
      </x:c>
      <x:c r="Q1184" s="83" t="n">
        <x:f>MAX($G$1184:$G$1189)-G1184</x:f>
        <x:v>0</x:v>
      </x:c>
      <x:c r="R1184" s="73" t="str">
        <x:f>INDEX(TrackMap!$B$8:$B$141,H1184)</x:f>
        <x:v>发车大直道</x:v>
      </x:c>
    </x:row>
    <x:row r="1185" ht="20" customHeight="1">
      <x:c r="A1185" s="73" t="n">
        <x:v>196</x:v>
      </x:c>
      <x:c r="B1185" s="73" t="n">
        <x:v>2</x:v>
      </x:c>
      <x:c r="C1185" s="73" t="str">
        <x:f>INDEX(Drivers!$B$8:$B$13,B1185)</x:f>
        <x:v>蓝电</x:v>
      </x:c>
      <x:c r="D1185" s="83" t="n">
        <x:f>G1179</x:f>
        <x:v>652.1929330829182</x:v>
      </x:c>
      <x:c r="E1185" s="83" t="str">
        <x:f>IF(A1185=0,"GRID",IF(D1185&gt;=Control!$B$17,"FINISHED",IF(AND(A1185&gt;=INDEX(Drivers!$G$8:$G$13,B1185),A1185&lt;INDEX(Drivers!$G$8:$G$13,B1185)+INDEX(Drivers!$J$8:$J$13,B1185)),"PIT",IF(MOD(A1185+INDEX(Drivers!$F$8:$F$13,B1185),Control!$B$11)&lt;Control!$B$13,"BOOST","RACE"))))</x:f>
        <x:v>RACE</x:v>
      </x:c>
      <x:c r="F1185" s="83" t="n">
        <x:f>IF(OR(E1185="GRID",E1185="FINISHED",E1185="PIT"),0,MAX(Control!$B$15,(INDEX(Drivers!$D$8:$D$13,B1185)+INDEX(Drivers!$E$8:$E$13,B1185)*SIN((A1185+INDEX(Drivers!$F$8:$F$13,B1185)+Control!$B$16)*Control!$B$14))*INDEX(TrackMap!$M$8:$M$141,MOD(INT(D1185)-1,Control!$B$7)+1)*IF(E1185="BOOST",Control!$B$12,1)))</x:f>
        <x:v>2.9896280838624403</x:v>
      </x:c>
      <x:c r="G1185" s="83" t="n">
        <x:f>IF(A1185=0,D1185,MIN(Control!$B$17,D1185+F1185))</x:f>
        <x:v>655.1825611667806</x:v>
      </x:c>
      <x:c r="H1185" s="73" t="n">
        <x:f>MOD(INT(G1185)-1,Control!$B$7)+1</x:f>
        <x:v>119</x:v>
      </x:c>
      <x:c r="I1185" s="73" t="n">
        <x:f>MIN(Control!$B$6,MAX(1,INT(MAX(0,G1185)/Control!$B$7)+1))</x:f>
        <x:v>5</x:v>
      </x:c>
      <x:c r="J1185" s="73" t="n">
        <x:f>INDEX(Drivers!$H$8:$H$13,B1185)</x:f>
        <x:v>2</x:v>
      </x:c>
      <x:c r="K1185" s="73" t="n">
        <x:f>IF(J1185=1,INDEX(TrackMap!$I$8:$I$141,H1185),INDEX(TrackMap!$L$8:$L$141,H1185))</x:f>
        <x:v>3032</x:v>
      </x:c>
      <x:c r="L1185" s="73" t="str">
        <x:f>INDEX(TrackMap!$F$8:$F$141,H1185)</x:f>
        <x:v>←</x:v>
      </x:c>
      <x:c r="M1185" s="87" t="n">
        <x:f>MAX(0,G1185/Control!$B$17)</x:f>
        <x:v>0.9778844196519113</x:v>
      </x:c>
      <x:c r="N1185" s="73" t="n">
        <x:f>IF(N1179&gt;0,N1179,IF(G1185&gt;=Control!$B$17,A1185,0))</x:f>
        <x:v>0</x:v>
      </x:c>
      <x:c r="O1185" s="91" t="n">
        <x:f>IF(N1185&gt;0,Control!$B$17+Control!$B$8+1-N1185,G1185)-B1185/100000</x:f>
        <x:v>655.1825411667807</x:v>
      </x:c>
      <x:c r="P1185" s="73" t="n">
        <x:f>COUNTIF($O$1184:$O$1189,"&gt;"&amp;O1185)+1</x:f>
        <x:v>6</x:v>
      </x:c>
      <x:c r="Q1185" s="83" t="n">
        <x:f>MAX($G$1184:$G$1189)-G1185</x:f>
        <x:v>14.817438833219398</x:v>
      </x:c>
      <x:c r="R1185" s="73" t="str">
        <x:f>INDEX(TrackMap!$B$8:$B$141,H1185)</x:f>
        <x:v>发车大直道</x:v>
      </x:c>
    </x:row>
    <x:row r="1186" ht="20" customHeight="1">
      <x:c r="A1186" s="73" t="n">
        <x:v>196</x:v>
      </x:c>
      <x:c r="B1186" s="73" t="n">
        <x:v>3</x:v>
      </x:c>
      <x:c r="C1186" s="73" t="str">
        <x:f>INDEX(Drivers!$B$8:$B$13,B1186)</x:f>
        <x:v>金翼</x:v>
      </x:c>
      <x:c r="D1186" s="83" t="n">
        <x:f>G1180</x:f>
        <x:v>670</x:v>
      </x:c>
      <x:c r="E1186" s="83" t="str">
        <x:f>IF(A1186=0,"GRID",IF(D1186&gt;=Control!$B$17,"FINISHED",IF(AND(A1186&gt;=INDEX(Drivers!$G$8:$G$13,B1186),A1186&lt;INDEX(Drivers!$G$8:$G$13,B1186)+INDEX(Drivers!$J$8:$J$13,B1186)),"PIT",IF(MOD(A1186+INDEX(Drivers!$F$8:$F$13,B1186),Control!$B$11)&lt;Control!$B$13,"BOOST","RACE"))))</x:f>
        <x:v>FINISHED</x:v>
      </x:c>
      <x:c r="F1186" s="83" t="n">
        <x:f>IF(OR(E1186="GRID",E1186="FINISHED",E1186="PIT"),0,MAX(Control!$B$15,(INDEX(Drivers!$D$8:$D$13,B1186)+INDEX(Drivers!$E$8:$E$13,B1186)*SIN((A1186+INDEX(Drivers!$F$8:$F$13,B1186)+Control!$B$16)*Control!$B$14))*INDEX(TrackMap!$M$8:$M$141,MOD(INT(D1186)-1,Control!$B$7)+1)*IF(E1186="BOOST",Control!$B$12,1)))</x:f>
        <x:v>0</x:v>
      </x:c>
      <x:c r="G1186" s="83" t="n">
        <x:f>IF(A1186=0,D1186,MIN(Control!$B$17,D1186+F1186))</x:f>
        <x:v>670</x:v>
      </x:c>
      <x:c r="H1186" s="73" t="n">
        <x:f>MOD(INT(G1186)-1,Control!$B$7)+1</x:f>
        <x:v>134</x:v>
      </x:c>
      <x:c r="I1186" s="73" t="n">
        <x:f>MIN(Control!$B$6,MAX(1,INT(MAX(0,G1186)/Control!$B$7)+1))</x:f>
        <x:v>5</x:v>
      </x:c>
      <x:c r="J1186" s="73" t="n">
        <x:f>INDEX(Drivers!$H$8:$H$13,B1186)</x:f>
        <x:v>1</x:v>
      </x:c>
      <x:c r="K1186" s="73" t="n">
        <x:f>IF(J1186=1,INDEX(TrackMap!$I$8:$I$141,H1186),INDEX(TrackMap!$L$8:$L$141,H1186))</x:f>
        <x:v>3117</x:v>
      </x:c>
      <x:c r="L1186" s="73" t="str">
        <x:f>INDEX(TrackMap!$F$8:$F$141,H1186)</x:f>
        <x:v>←</x:v>
      </x:c>
      <x:c r="M1186" s="87" t="n">
        <x:f>MAX(0,G1186/Control!$B$17)</x:f>
        <x:v>1</x:v>
      </x:c>
      <x:c r="N1186" s="73" t="n">
        <x:f>IF(N1180&gt;0,N1180,IF(G1186&gt;=Control!$B$17,A1186,0))</x:f>
        <x:v>195</x:v>
      </x:c>
      <x:c r="O1186" s="91" t="n">
        <x:f>IF(N1186&gt;0,Control!$B$17+Control!$B$8+1-N1186,G1186)-B1186/100000</x:f>
        <x:v>715.99997</x:v>
      </x:c>
      <x:c r="P1186" s="73" t="n">
        <x:f>COUNTIF($O$1184:$O$1189,"&gt;"&amp;O1186)+1</x:f>
        <x:v>2</x:v>
      </x:c>
      <x:c r="Q1186" s="83" t="n">
        <x:f>MAX($G$1184:$G$1189)-G1186</x:f>
        <x:v>0</x:v>
      </x:c>
      <x:c r="R1186" s="73" t="str">
        <x:f>INDEX(TrackMap!$B$8:$B$141,H1186)</x:f>
        <x:v>发车大直道</x:v>
      </x:c>
    </x:row>
    <x:row r="1187" ht="20" customHeight="1">
      <x:c r="A1187" s="73" t="n">
        <x:v>196</x:v>
      </x:c>
      <x:c r="B1187" s="73" t="n">
        <x:v>4</x:v>
      </x:c>
      <x:c r="C1187" s="73" t="str">
        <x:f>INDEX(Drivers!$B$8:$B$13,B1187)</x:f>
        <x:v>紫影</x:v>
      </x:c>
      <x:c r="D1187" s="83" t="n">
        <x:f>G1181</x:f>
        <x:v>659.9313947327862</x:v>
      </x:c>
      <x:c r="E1187" s="83" t="str">
        <x:f>IF(A1187=0,"GRID",IF(D1187&gt;=Control!$B$17,"FINISHED",IF(AND(A1187&gt;=INDEX(Drivers!$G$8:$G$13,B1187),A1187&lt;INDEX(Drivers!$G$8:$G$13,B1187)+INDEX(Drivers!$J$8:$J$13,B1187)),"PIT",IF(MOD(A1187+INDEX(Drivers!$F$8:$F$13,B1187),Control!$B$11)&lt;Control!$B$13,"BOOST","RACE"))))</x:f>
        <x:v>BOOST</x:v>
      </x:c>
      <x:c r="F1187" s="83" t="n">
        <x:f>IF(OR(E1187="GRID",E1187="FINISHED",E1187="PIT"),0,MAX(Control!$B$15,(INDEX(Drivers!$D$8:$D$13,B1187)+INDEX(Drivers!$E$8:$E$13,B1187)*SIN((A1187+INDEX(Drivers!$F$8:$F$13,B1187)+Control!$B$16)*Control!$B$14))*INDEX(TrackMap!$M$8:$M$141,MOD(INT(D1187)-1,Control!$B$7)+1)*IF(E1187="BOOST",Control!$B$12,1)))</x:f>
        <x:v>4.388012203639781</x:v>
      </x:c>
      <x:c r="G1187" s="83" t="n">
        <x:f>IF(A1187=0,D1187,MIN(Control!$B$17,D1187+F1187))</x:f>
        <x:v>664.3194069364259</x:v>
      </x:c>
      <x:c r="H1187" s="73" t="n">
        <x:f>MOD(INT(G1187)-1,Control!$B$7)+1</x:f>
        <x:v>128</x:v>
      </x:c>
      <x:c r="I1187" s="73" t="n">
        <x:f>MIN(Control!$B$6,MAX(1,INT(MAX(0,G1187)/Control!$B$7)+1))</x:f>
        <x:v>5</x:v>
      </x:c>
      <x:c r="J1187" s="73" t="n">
        <x:f>INDEX(Drivers!$H$8:$H$13,B1187)</x:f>
        <x:v>2</x:v>
      </x:c>
      <x:c r="K1187" s="73" t="n">
        <x:f>IF(J1187=1,INDEX(TrackMap!$I$8:$I$141,H1187),INDEX(TrackMap!$L$8:$L$141,H1187))</x:f>
        <x:v>3023</x:v>
      </x:c>
      <x:c r="L1187" s="73" t="str">
        <x:f>INDEX(TrackMap!$F$8:$F$141,H1187)</x:f>
        <x:v>←</x:v>
      </x:c>
      <x:c r="M1187" s="87" t="n">
        <x:f>MAX(0,G1187/Control!$B$17)</x:f>
        <x:v>0.9915215028901879</x:v>
      </x:c>
      <x:c r="N1187" s="73" t="n">
        <x:f>IF(N1181&gt;0,N1181,IF(G1187&gt;=Control!$B$17,A1187,0))</x:f>
        <x:v>0</x:v>
      </x:c>
      <x:c r="O1187" s="91" t="n">
        <x:f>IF(N1187&gt;0,Control!$B$17+Control!$B$8+1-N1187,G1187)-B1187/100000</x:f>
        <x:v>664.3193669364259</x:v>
      </x:c>
      <x:c r="P1187" s="73" t="n">
        <x:f>COUNTIF($O$1184:$O$1189,"&gt;"&amp;O1187)+1</x:f>
        <x:v>5</x:v>
      </x:c>
      <x:c r="Q1187" s="83" t="n">
        <x:f>MAX($G$1184:$G$1189)-G1187</x:f>
        <x:v>5.680593063574065</x:v>
      </x:c>
      <x:c r="R1187" s="73" t="str">
        <x:f>INDEX(TrackMap!$B$8:$B$141,H1187)</x:f>
        <x:v>发车大直道</x:v>
      </x:c>
    </x:row>
    <x:row r="1188" ht="20" customHeight="1">
      <x:c r="A1188" s="73" t="n">
        <x:v>196</x:v>
      </x:c>
      <x:c r="B1188" s="73" t="n">
        <x:v>5</x:v>
      </x:c>
      <x:c r="C1188" s="73" t="str">
        <x:f>INDEX(Drivers!$B$8:$B$13,B1188)</x:f>
        <x:v>青锋</x:v>
      </x:c>
      <x:c r="D1188" s="83" t="n">
        <x:f>G1182</x:f>
        <x:v>670</x:v>
      </x:c>
      <x:c r="E1188" s="83" t="str">
        <x:f>IF(A1188=0,"GRID",IF(D1188&gt;=Control!$B$17,"FINISHED",IF(AND(A1188&gt;=INDEX(Drivers!$G$8:$G$13,B1188),A1188&lt;INDEX(Drivers!$G$8:$G$13,B1188)+INDEX(Drivers!$J$8:$J$13,B1188)),"PIT",IF(MOD(A1188+INDEX(Drivers!$F$8:$F$13,B1188),Control!$B$11)&lt;Control!$B$13,"BOOST","RACE"))))</x:f>
        <x:v>FINISHED</x:v>
      </x:c>
      <x:c r="F1188" s="83" t="n">
        <x:f>IF(OR(E1188="GRID",E1188="FINISHED",E1188="PIT"),0,MAX(Control!$B$15,(INDEX(Drivers!$D$8:$D$13,B1188)+INDEX(Drivers!$E$8:$E$13,B1188)*SIN((A1188+INDEX(Drivers!$F$8:$F$13,B1188)+Control!$B$16)*Control!$B$14))*INDEX(TrackMap!$M$8:$M$141,MOD(INT(D1188)-1,Control!$B$7)+1)*IF(E1188="BOOST",Control!$B$12,1)))</x:f>
        <x:v>0</x:v>
      </x:c>
      <x:c r="G1188" s="83" t="n">
        <x:f>IF(A1188=0,D1188,MIN(Control!$B$17,D1188+F1188))</x:f>
        <x:v>670</x:v>
      </x:c>
      <x:c r="H1188" s="73" t="n">
        <x:f>MOD(INT(G1188)-1,Control!$B$7)+1</x:f>
        <x:v>134</x:v>
      </x:c>
      <x:c r="I1188" s="73" t="n">
        <x:f>MIN(Control!$B$6,MAX(1,INT(MAX(0,G1188)/Control!$B$7)+1))</x:f>
        <x:v>5</x:v>
      </x:c>
      <x:c r="J1188" s="73" t="n">
        <x:f>INDEX(Drivers!$H$8:$H$13,B1188)</x:f>
        <x:v>1</x:v>
      </x:c>
      <x:c r="K1188" s="73" t="n">
        <x:f>IF(J1188=1,INDEX(TrackMap!$I$8:$I$141,H1188),INDEX(TrackMap!$L$8:$L$141,H1188))</x:f>
        <x:v>3117</x:v>
      </x:c>
      <x:c r="L1188" s="73" t="str">
        <x:f>INDEX(TrackMap!$F$8:$F$141,H1188)</x:f>
        <x:v>←</x:v>
      </x:c>
      <x:c r="M1188" s="87" t="n">
        <x:f>MAX(0,G1188/Control!$B$17)</x:f>
        <x:v>1</x:v>
      </x:c>
      <x:c r="N1188" s="73" t="n">
        <x:f>IF(N1182&gt;0,N1182,IF(G1188&gt;=Control!$B$17,A1188,0))</x:f>
        <x:v>195</x:v>
      </x:c>
      <x:c r="O1188" s="91" t="n">
        <x:f>IF(N1188&gt;0,Control!$B$17+Control!$B$8+1-N1188,G1188)-B1188/100000</x:f>
        <x:v>715.99995</x:v>
      </x:c>
      <x:c r="P1188" s="73" t="n">
        <x:f>COUNTIF($O$1184:$O$1189,"&gt;"&amp;O1188)+1</x:f>
        <x:v>3</x:v>
      </x:c>
      <x:c r="Q1188" s="83" t="n">
        <x:f>MAX($G$1184:$G$1189)-G1188</x:f>
        <x:v>0</x:v>
      </x:c>
      <x:c r="R1188" s="73" t="str">
        <x:f>INDEX(TrackMap!$B$8:$B$141,H1188)</x:f>
        <x:v>发车大直道</x:v>
      </x:c>
    </x:row>
    <x:row r="1189" ht="20" customHeight="1">
      <x:c r="A1189" s="73" t="n">
        <x:v>196</x:v>
      </x:c>
      <x:c r="B1189" s="73" t="n">
        <x:v>6</x:v>
      </x:c>
      <x:c r="C1189" s="73" t="str">
        <x:f>INDEX(Drivers!$B$8:$B$13,B1189)</x:f>
        <x:v>玫速</x:v>
      </x:c>
      <x:c r="D1189" s="83" t="n">
        <x:f>G1183</x:f>
        <x:v>666.7484187703866</x:v>
      </x:c>
      <x:c r="E1189" s="83" t="str">
        <x:f>IF(A1189=0,"GRID",IF(D1189&gt;=Control!$B$17,"FINISHED",IF(AND(A1189&gt;=INDEX(Drivers!$G$8:$G$13,B1189),A1189&lt;INDEX(Drivers!$G$8:$G$13,B1189)+INDEX(Drivers!$J$8:$J$13,B1189)),"PIT",IF(MOD(A1189+INDEX(Drivers!$F$8:$F$13,B1189),Control!$B$11)&lt;Control!$B$13,"BOOST","RACE"))))</x:f>
        <x:v>RACE</x:v>
      </x:c>
      <x:c r="F1189" s="83" t="n">
        <x:f>IF(OR(E1189="GRID",E1189="FINISHED",E1189="PIT"),0,MAX(Control!$B$15,(INDEX(Drivers!$D$8:$D$13,B1189)+INDEX(Drivers!$E$8:$E$13,B1189)*SIN((A1189+INDEX(Drivers!$F$8:$F$13,B1189)+Control!$B$16)*Control!$B$14))*INDEX(TrackMap!$M$8:$M$141,MOD(INT(D1189)-1,Control!$B$7)+1)*IF(E1189="BOOST",Control!$B$12,1)))</x:f>
        <x:v>3.7330851018102083</x:v>
      </x:c>
      <x:c r="G1189" s="83" t="n">
        <x:f>IF(A1189=0,D1189,MIN(Control!$B$17,D1189+F1189))</x:f>
        <x:v>670</x:v>
      </x:c>
      <x:c r="H1189" s="73" t="n">
        <x:f>MOD(INT(G1189)-1,Control!$B$7)+1</x:f>
        <x:v>134</x:v>
      </x:c>
      <x:c r="I1189" s="73" t="n">
        <x:f>MIN(Control!$B$6,MAX(1,INT(MAX(0,G1189)/Control!$B$7)+1))</x:f>
        <x:v>5</x:v>
      </x:c>
      <x:c r="J1189" s="73" t="n">
        <x:f>INDEX(Drivers!$H$8:$H$13,B1189)</x:f>
        <x:v>2</x:v>
      </x:c>
      <x:c r="K1189" s="73" t="n">
        <x:f>IF(J1189=1,INDEX(TrackMap!$I$8:$I$141,H1189),INDEX(TrackMap!$L$8:$L$141,H1189))</x:f>
        <x:v>3017</x:v>
      </x:c>
      <x:c r="L1189" s="73" t="str">
        <x:f>INDEX(TrackMap!$F$8:$F$141,H1189)</x:f>
        <x:v>←</x:v>
      </x:c>
      <x:c r="M1189" s="87" t="n">
        <x:f>MAX(0,G1189/Control!$B$17)</x:f>
        <x:v>1</x:v>
      </x:c>
      <x:c r="N1189" s="73" t="n">
        <x:f>IF(N1183&gt;0,N1183,IF(G1189&gt;=Control!$B$17,A1189,0))</x:f>
        <x:v>196</x:v>
      </x:c>
      <x:c r="O1189" s="91" t="n">
        <x:f>IF(N1189&gt;0,Control!$B$17+Control!$B$8+1-N1189,G1189)-B1189/100000</x:f>
        <x:v>714.99994</x:v>
      </x:c>
      <x:c r="P1189" s="73" t="n">
        <x:f>COUNTIF($O$1184:$O$1189,"&gt;"&amp;O1189)+1</x:f>
        <x:v>4</x:v>
      </x:c>
      <x:c r="Q1189" s="83" t="n">
        <x:f>MAX($G$1184:$G$1189)-G1189</x:f>
        <x:v>0</x:v>
      </x:c>
      <x:c r="R1189" s="73" t="str">
        <x:f>INDEX(TrackMap!$B$8:$B$141,H1189)</x:f>
        <x:v>发车大直道</x:v>
      </x:c>
    </x:row>
    <x:row r="1190" ht="20" customHeight="1">
      <x:c r="A1190" s="73" t="n">
        <x:v>197</x:v>
      </x:c>
      <x:c r="B1190" s="73" t="n">
        <x:v>1</x:v>
      </x:c>
      <x:c r="C1190" s="73" t="str">
        <x:f>INDEX(Drivers!$B$8:$B$13,B1190)</x:f>
        <x:v>赤焰</x:v>
      </x:c>
      <x:c r="D1190" s="83" t="n">
        <x:f>G1184</x:f>
        <x:v>670</x:v>
      </x:c>
      <x:c r="E1190" s="83" t="str">
        <x:f>IF(A1190=0,"GRID",IF(D1190&gt;=Control!$B$17,"FINISHED",IF(AND(A1190&gt;=INDEX(Drivers!$G$8:$G$13,B1190),A1190&lt;INDEX(Drivers!$G$8:$G$13,B1190)+INDEX(Drivers!$J$8:$J$13,B1190)),"PIT",IF(MOD(A1190+INDEX(Drivers!$F$8:$F$13,B1190),Control!$B$11)&lt;Control!$B$13,"BOOST","RACE"))))</x:f>
        <x:v>FINISHED</x:v>
      </x:c>
      <x:c r="F1190" s="83" t="n">
        <x:f>IF(OR(E1190="GRID",E1190="FINISHED",E1190="PIT"),0,MAX(Control!$B$15,(INDEX(Drivers!$D$8:$D$13,B1190)+INDEX(Drivers!$E$8:$E$13,B1190)*SIN((A1190+INDEX(Drivers!$F$8:$F$13,B1190)+Control!$B$16)*Control!$B$14))*INDEX(TrackMap!$M$8:$M$141,MOD(INT(D1190)-1,Control!$B$7)+1)*IF(E1190="BOOST",Control!$B$12,1)))</x:f>
        <x:v>0</x:v>
      </x:c>
      <x:c r="G1190" s="83" t="n">
        <x:f>IF(A1190=0,D1190,MIN(Control!$B$17,D1190+F1190))</x:f>
        <x:v>670</x:v>
      </x:c>
      <x:c r="H1190" s="73" t="n">
        <x:f>MOD(INT(G1190)-1,Control!$B$7)+1</x:f>
        <x:v>134</x:v>
      </x:c>
      <x:c r="I1190" s="73" t="n">
        <x:f>MIN(Control!$B$6,MAX(1,INT(MAX(0,G1190)/Control!$B$7)+1))</x:f>
        <x:v>5</x:v>
      </x:c>
      <x:c r="J1190" s="73" t="n">
        <x:f>INDEX(Drivers!$H$8:$H$13,B1190)</x:f>
        <x:v>1</x:v>
      </x:c>
      <x:c r="K1190" s="73" t="n">
        <x:f>IF(J1190=1,INDEX(TrackMap!$I$8:$I$141,H1190),INDEX(TrackMap!$L$8:$L$141,H1190))</x:f>
        <x:v>3117</x:v>
      </x:c>
      <x:c r="L1190" s="73" t="str">
        <x:f>INDEX(TrackMap!$F$8:$F$141,H1190)</x:f>
        <x:v>←</x:v>
      </x:c>
      <x:c r="M1190" s="87" t="n">
        <x:f>MAX(0,G1190/Control!$B$17)</x:f>
        <x:v>1</x:v>
      </x:c>
      <x:c r="N1190" s="73" t="n">
        <x:f>IF(N1184&gt;0,N1184,IF(G1190&gt;=Control!$B$17,A1190,0))</x:f>
        <x:v>194</x:v>
      </x:c>
      <x:c r="O1190" s="91" t="n">
        <x:f>IF(N1190&gt;0,Control!$B$17+Control!$B$8+1-N1190,G1190)-B1190/100000</x:f>
        <x:v>716.99999</x:v>
      </x:c>
      <x:c r="P1190" s="73" t="n">
        <x:f>COUNTIF($O$1190:$O$1195,"&gt;"&amp;O1190)+1</x:f>
        <x:v>1</x:v>
      </x:c>
      <x:c r="Q1190" s="83" t="n">
        <x:f>MAX($G$1190:$G$1195)-G1190</x:f>
        <x:v>0</x:v>
      </x:c>
      <x:c r="R1190" s="73" t="str">
        <x:f>INDEX(TrackMap!$B$8:$B$141,H1190)</x:f>
        <x:v>发车大直道</x:v>
      </x:c>
    </x:row>
    <x:row r="1191" ht="20" customHeight="1">
      <x:c r="A1191" s="73" t="n">
        <x:v>197</x:v>
      </x:c>
      <x:c r="B1191" s="73" t="n">
        <x:v>2</x:v>
      </x:c>
      <x:c r="C1191" s="73" t="str">
        <x:f>INDEX(Drivers!$B$8:$B$13,B1191)</x:f>
        <x:v>蓝电</x:v>
      </x:c>
      <x:c r="D1191" s="83" t="n">
        <x:f>G1185</x:f>
        <x:v>655.1825611667806</x:v>
      </x:c>
      <x:c r="E1191" s="83" t="str">
        <x:f>IF(A1191=0,"GRID",IF(D1191&gt;=Control!$B$17,"FINISHED",IF(AND(A1191&gt;=INDEX(Drivers!$G$8:$G$13,B1191),A1191&lt;INDEX(Drivers!$G$8:$G$13,B1191)+INDEX(Drivers!$J$8:$J$13,B1191)),"PIT",IF(MOD(A1191+INDEX(Drivers!$F$8:$F$13,B1191),Control!$B$11)&lt;Control!$B$13,"BOOST","RACE"))))</x:f>
        <x:v>RACE</x:v>
      </x:c>
      <x:c r="F1191" s="83" t="n">
        <x:f>IF(OR(E1191="GRID",E1191="FINISHED",E1191="PIT"),0,MAX(Control!$B$15,(INDEX(Drivers!$D$8:$D$13,B1191)+INDEX(Drivers!$E$8:$E$13,B1191)*SIN((A1191+INDEX(Drivers!$F$8:$F$13,B1191)+Control!$B$16)*Control!$B$14))*INDEX(TrackMap!$M$8:$M$141,MOD(INT(D1191)-1,Control!$B$7)+1)*IF(E1191="BOOST",Control!$B$12,1)))</x:f>
        <x:v>3.0682932429919227</x:v>
      </x:c>
      <x:c r="G1191" s="83" t="n">
        <x:f>IF(A1191=0,D1191,MIN(Control!$B$17,D1191+F1191))</x:f>
        <x:v>658.2508544097725</x:v>
      </x:c>
      <x:c r="H1191" s="73" t="n">
        <x:f>MOD(INT(G1191)-1,Control!$B$7)+1</x:f>
        <x:v>122</x:v>
      </x:c>
      <x:c r="I1191" s="73" t="n">
        <x:f>MIN(Control!$B$6,MAX(1,INT(MAX(0,G1191)/Control!$B$7)+1))</x:f>
        <x:v>5</x:v>
      </x:c>
      <x:c r="J1191" s="73" t="n">
        <x:f>INDEX(Drivers!$H$8:$H$13,B1191)</x:f>
        <x:v>2</x:v>
      </x:c>
      <x:c r="K1191" s="73" t="n">
        <x:f>IF(J1191=1,INDEX(TrackMap!$I$8:$I$141,H1191),INDEX(TrackMap!$L$8:$L$141,H1191))</x:f>
        <x:v>3029</x:v>
      </x:c>
      <x:c r="L1191" s="73" t="str">
        <x:f>INDEX(TrackMap!$F$8:$F$141,H1191)</x:f>
        <x:v>←</x:v>
      </x:c>
      <x:c r="M1191" s="87" t="n">
        <x:f>MAX(0,G1191/Control!$B$17)</x:f>
        <x:v>0.9824639618056306</x:v>
      </x:c>
      <x:c r="N1191" s="73" t="n">
        <x:f>IF(N1185&gt;0,N1185,IF(G1191&gt;=Control!$B$17,A1191,0))</x:f>
        <x:v>0</x:v>
      </x:c>
      <x:c r="O1191" s="91" t="n">
        <x:f>IF(N1191&gt;0,Control!$B$17+Control!$B$8+1-N1191,G1191)-B1191/100000</x:f>
        <x:v>658.2508344097726</x:v>
      </x:c>
      <x:c r="P1191" s="73" t="n">
        <x:f>COUNTIF($O$1190:$O$1195,"&gt;"&amp;O1191)+1</x:f>
        <x:v>6</x:v>
      </x:c>
      <x:c r="Q1191" s="83" t="n">
        <x:f>MAX($G$1190:$G$1195)-G1191</x:f>
        <x:v>11.7491455902275</x:v>
      </x:c>
      <x:c r="R1191" s="73" t="str">
        <x:f>INDEX(TrackMap!$B$8:$B$141,H1191)</x:f>
        <x:v>发车大直道</x:v>
      </x:c>
    </x:row>
    <x:row r="1192" ht="20" customHeight="1">
      <x:c r="A1192" s="73" t="n">
        <x:v>197</x:v>
      </x:c>
      <x:c r="B1192" s="73" t="n">
        <x:v>3</x:v>
      </x:c>
      <x:c r="C1192" s="73" t="str">
        <x:f>INDEX(Drivers!$B$8:$B$13,B1192)</x:f>
        <x:v>金翼</x:v>
      </x:c>
      <x:c r="D1192" s="83" t="n">
        <x:f>G1186</x:f>
        <x:v>670</x:v>
      </x:c>
      <x:c r="E1192" s="83" t="str">
        <x:f>IF(A1192=0,"GRID",IF(D1192&gt;=Control!$B$17,"FINISHED",IF(AND(A1192&gt;=INDEX(Drivers!$G$8:$G$13,B1192),A1192&lt;INDEX(Drivers!$G$8:$G$13,B1192)+INDEX(Drivers!$J$8:$J$13,B1192)),"PIT",IF(MOD(A1192+INDEX(Drivers!$F$8:$F$13,B1192),Control!$B$11)&lt;Control!$B$13,"BOOST","RACE"))))</x:f>
        <x:v>FINISHED</x:v>
      </x:c>
      <x:c r="F1192" s="83" t="n">
        <x:f>IF(OR(E1192="GRID",E1192="FINISHED",E1192="PIT"),0,MAX(Control!$B$15,(INDEX(Drivers!$D$8:$D$13,B1192)+INDEX(Drivers!$E$8:$E$13,B1192)*SIN((A1192+INDEX(Drivers!$F$8:$F$13,B1192)+Control!$B$16)*Control!$B$14))*INDEX(TrackMap!$M$8:$M$141,MOD(INT(D1192)-1,Control!$B$7)+1)*IF(E1192="BOOST",Control!$B$12,1)))</x:f>
        <x:v>0</x:v>
      </x:c>
      <x:c r="G1192" s="83" t="n">
        <x:f>IF(A1192=0,D1192,MIN(Control!$B$17,D1192+F1192))</x:f>
        <x:v>670</x:v>
      </x:c>
      <x:c r="H1192" s="73" t="n">
        <x:f>MOD(INT(G1192)-1,Control!$B$7)+1</x:f>
        <x:v>134</x:v>
      </x:c>
      <x:c r="I1192" s="73" t="n">
        <x:f>MIN(Control!$B$6,MAX(1,INT(MAX(0,G1192)/Control!$B$7)+1))</x:f>
        <x:v>5</x:v>
      </x:c>
      <x:c r="J1192" s="73" t="n">
        <x:f>INDEX(Drivers!$H$8:$H$13,B1192)</x:f>
        <x:v>1</x:v>
      </x:c>
      <x:c r="K1192" s="73" t="n">
        <x:f>IF(J1192=1,INDEX(TrackMap!$I$8:$I$141,H1192),INDEX(TrackMap!$L$8:$L$141,H1192))</x:f>
        <x:v>3117</x:v>
      </x:c>
      <x:c r="L1192" s="73" t="str">
        <x:f>INDEX(TrackMap!$F$8:$F$141,H1192)</x:f>
        <x:v>←</x:v>
      </x:c>
      <x:c r="M1192" s="87" t="n">
        <x:f>MAX(0,G1192/Control!$B$17)</x:f>
        <x:v>1</x:v>
      </x:c>
      <x:c r="N1192" s="73" t="n">
        <x:f>IF(N1186&gt;0,N1186,IF(G1192&gt;=Control!$B$17,A1192,0))</x:f>
        <x:v>195</x:v>
      </x:c>
      <x:c r="O1192" s="91" t="n">
        <x:f>IF(N1192&gt;0,Control!$B$17+Control!$B$8+1-N1192,G1192)-B1192/100000</x:f>
        <x:v>715.99997</x:v>
      </x:c>
      <x:c r="P1192" s="73" t="n">
        <x:f>COUNTIF($O$1190:$O$1195,"&gt;"&amp;O1192)+1</x:f>
        <x:v>2</x:v>
      </x:c>
      <x:c r="Q1192" s="83" t="n">
        <x:f>MAX($G$1190:$G$1195)-G1192</x:f>
        <x:v>0</x:v>
      </x:c>
      <x:c r="R1192" s="73" t="str">
        <x:f>INDEX(TrackMap!$B$8:$B$141,H1192)</x:f>
        <x:v>发车大直道</x:v>
      </x:c>
    </x:row>
    <x:row r="1193" ht="20" customHeight="1">
      <x:c r="A1193" s="73" t="n">
        <x:v>197</x:v>
      </x:c>
      <x:c r="B1193" s="73" t="n">
        <x:v>4</x:v>
      </x:c>
      <x:c r="C1193" s="73" t="str">
        <x:f>INDEX(Drivers!$B$8:$B$13,B1193)</x:f>
        <x:v>紫影</x:v>
      </x:c>
      <x:c r="D1193" s="83" t="n">
        <x:f>G1187</x:f>
        <x:v>664.3194069364259</x:v>
      </x:c>
      <x:c r="E1193" s="83" t="str">
        <x:f>IF(A1193=0,"GRID",IF(D1193&gt;=Control!$B$17,"FINISHED",IF(AND(A1193&gt;=INDEX(Drivers!$G$8:$G$13,B1193),A1193&lt;INDEX(Drivers!$G$8:$G$13,B1193)+INDEX(Drivers!$J$8:$J$13,B1193)),"PIT",IF(MOD(A1193+INDEX(Drivers!$F$8:$F$13,B1193),Control!$B$11)&lt;Control!$B$13,"BOOST","RACE"))))</x:f>
        <x:v>BOOST</x:v>
      </x:c>
      <x:c r="F1193" s="83" t="n">
        <x:f>IF(OR(E1193="GRID",E1193="FINISHED",E1193="PIT"),0,MAX(Control!$B$15,(INDEX(Drivers!$D$8:$D$13,B1193)+INDEX(Drivers!$E$8:$E$13,B1193)*SIN((A1193+INDEX(Drivers!$F$8:$F$13,B1193)+Control!$B$16)*Control!$B$14))*INDEX(TrackMap!$M$8:$M$141,MOD(INT(D1193)-1,Control!$B$7)+1)*IF(E1193="BOOST",Control!$B$12,1)))</x:f>
        <x:v>4.194032484186051</x:v>
      </x:c>
      <x:c r="G1193" s="83" t="n">
        <x:f>IF(A1193=0,D1193,MIN(Control!$B$17,D1193+F1193))</x:f>
        <x:v>668.513439420612</x:v>
      </x:c>
      <x:c r="H1193" s="73" t="n">
        <x:f>MOD(INT(G1193)-1,Control!$B$7)+1</x:f>
        <x:v>132</x:v>
      </x:c>
      <x:c r="I1193" s="73" t="n">
        <x:f>MIN(Control!$B$6,MAX(1,INT(MAX(0,G1193)/Control!$B$7)+1))</x:f>
        <x:v>5</x:v>
      </x:c>
      <x:c r="J1193" s="73" t="n">
        <x:f>INDEX(Drivers!$H$8:$H$13,B1193)</x:f>
        <x:v>2</x:v>
      </x:c>
      <x:c r="K1193" s="73" t="n">
        <x:f>IF(J1193=1,INDEX(TrackMap!$I$8:$I$141,H1193),INDEX(TrackMap!$L$8:$L$141,H1193))</x:f>
        <x:v>3019</x:v>
      </x:c>
      <x:c r="L1193" s="73" t="str">
        <x:f>INDEX(TrackMap!$F$8:$F$141,H1193)</x:f>
        <x:v>←</x:v>
      </x:c>
      <x:c r="M1193" s="87" t="n">
        <x:f>MAX(0,G1193/Control!$B$17)</x:f>
        <x:v>0.9977812528665851</x:v>
      </x:c>
      <x:c r="N1193" s="73" t="n">
        <x:f>IF(N1187&gt;0,N1187,IF(G1193&gt;=Control!$B$17,A1193,0))</x:f>
        <x:v>0</x:v>
      </x:c>
      <x:c r="O1193" s="91" t="n">
        <x:f>IF(N1193&gt;0,Control!$B$17+Control!$B$8+1-N1193,G1193)-B1193/100000</x:f>
        <x:v>668.513399420612</x:v>
      </x:c>
      <x:c r="P1193" s="73" t="n">
        <x:f>COUNTIF($O$1190:$O$1195,"&gt;"&amp;O1193)+1</x:f>
        <x:v>5</x:v>
      </x:c>
      <x:c r="Q1193" s="83" t="n">
        <x:f>MAX($G$1190:$G$1195)-G1193</x:f>
        <x:v>1.4865605793879695</x:v>
      </x:c>
      <x:c r="R1193" s="73" t="str">
        <x:f>INDEX(TrackMap!$B$8:$B$141,H1193)</x:f>
        <x:v>发车大直道</x:v>
      </x:c>
    </x:row>
    <x:row r="1194" ht="20" customHeight="1">
      <x:c r="A1194" s="73" t="n">
        <x:v>197</x:v>
      </x:c>
      <x:c r="B1194" s="73" t="n">
        <x:v>5</x:v>
      </x:c>
      <x:c r="C1194" s="73" t="str">
        <x:f>INDEX(Drivers!$B$8:$B$13,B1194)</x:f>
        <x:v>青锋</x:v>
      </x:c>
      <x:c r="D1194" s="83" t="n">
        <x:f>G1188</x:f>
        <x:v>670</x:v>
      </x:c>
      <x:c r="E1194" s="83" t="str">
        <x:f>IF(A1194=0,"GRID",IF(D1194&gt;=Control!$B$17,"FINISHED",IF(AND(A1194&gt;=INDEX(Drivers!$G$8:$G$13,B1194),A1194&lt;INDEX(Drivers!$G$8:$G$13,B1194)+INDEX(Drivers!$J$8:$J$13,B1194)),"PIT",IF(MOD(A1194+INDEX(Drivers!$F$8:$F$13,B1194),Control!$B$11)&lt;Control!$B$13,"BOOST","RACE"))))</x:f>
        <x:v>FINISHED</x:v>
      </x:c>
      <x:c r="F1194" s="83" t="n">
        <x:f>IF(OR(E1194="GRID",E1194="FINISHED",E1194="PIT"),0,MAX(Control!$B$15,(INDEX(Drivers!$D$8:$D$13,B1194)+INDEX(Drivers!$E$8:$E$13,B1194)*SIN((A1194+INDEX(Drivers!$F$8:$F$13,B1194)+Control!$B$16)*Control!$B$14))*INDEX(TrackMap!$M$8:$M$141,MOD(INT(D1194)-1,Control!$B$7)+1)*IF(E1194="BOOST",Control!$B$12,1)))</x:f>
        <x:v>0</x:v>
      </x:c>
      <x:c r="G1194" s="83" t="n">
        <x:f>IF(A1194=0,D1194,MIN(Control!$B$17,D1194+F1194))</x:f>
        <x:v>670</x:v>
      </x:c>
      <x:c r="H1194" s="73" t="n">
        <x:f>MOD(INT(G1194)-1,Control!$B$7)+1</x:f>
        <x:v>134</x:v>
      </x:c>
      <x:c r="I1194" s="73" t="n">
        <x:f>MIN(Control!$B$6,MAX(1,INT(MAX(0,G1194)/Control!$B$7)+1))</x:f>
        <x:v>5</x:v>
      </x:c>
      <x:c r="J1194" s="73" t="n">
        <x:f>INDEX(Drivers!$H$8:$H$13,B1194)</x:f>
        <x:v>1</x:v>
      </x:c>
      <x:c r="K1194" s="73" t="n">
        <x:f>IF(J1194=1,INDEX(TrackMap!$I$8:$I$141,H1194),INDEX(TrackMap!$L$8:$L$141,H1194))</x:f>
        <x:v>3117</x:v>
      </x:c>
      <x:c r="L1194" s="73" t="str">
        <x:f>INDEX(TrackMap!$F$8:$F$141,H1194)</x:f>
        <x:v>←</x:v>
      </x:c>
      <x:c r="M1194" s="87" t="n">
        <x:f>MAX(0,G1194/Control!$B$17)</x:f>
        <x:v>1</x:v>
      </x:c>
      <x:c r="N1194" s="73" t="n">
        <x:f>IF(N1188&gt;0,N1188,IF(G1194&gt;=Control!$B$17,A1194,0))</x:f>
        <x:v>195</x:v>
      </x:c>
      <x:c r="O1194" s="91" t="n">
        <x:f>IF(N1194&gt;0,Control!$B$17+Control!$B$8+1-N1194,G1194)-B1194/100000</x:f>
        <x:v>715.99995</x:v>
      </x:c>
      <x:c r="P1194" s="73" t="n">
        <x:f>COUNTIF($O$1190:$O$1195,"&gt;"&amp;O1194)+1</x:f>
        <x:v>3</x:v>
      </x:c>
      <x:c r="Q1194" s="83" t="n">
        <x:f>MAX($G$1190:$G$1195)-G1194</x:f>
        <x:v>0</x:v>
      </x:c>
      <x:c r="R1194" s="73" t="str">
        <x:f>INDEX(TrackMap!$B$8:$B$141,H1194)</x:f>
        <x:v>发车大直道</x:v>
      </x:c>
    </x:row>
    <x:row r="1195" ht="20" customHeight="1">
      <x:c r="A1195" s="73" t="n">
        <x:v>197</x:v>
      </x:c>
      <x:c r="B1195" s="73" t="n">
        <x:v>6</x:v>
      </x:c>
      <x:c r="C1195" s="73" t="str">
        <x:f>INDEX(Drivers!$B$8:$B$13,B1195)</x:f>
        <x:v>玫速</x:v>
      </x:c>
      <x:c r="D1195" s="83" t="n">
        <x:f>G1189</x:f>
        <x:v>670</x:v>
      </x:c>
      <x:c r="E1195" s="83" t="str">
        <x:f>IF(A1195=0,"GRID",IF(D1195&gt;=Control!$B$17,"FINISHED",IF(AND(A1195&gt;=INDEX(Drivers!$G$8:$G$13,B1195),A1195&lt;INDEX(Drivers!$G$8:$G$13,B1195)+INDEX(Drivers!$J$8:$J$13,B1195)),"PIT",IF(MOD(A1195+INDEX(Drivers!$F$8:$F$13,B1195),Control!$B$11)&lt;Control!$B$13,"BOOST","RACE"))))</x:f>
        <x:v>FINISHED</x:v>
      </x:c>
      <x:c r="F1195" s="83" t="n">
        <x:f>IF(OR(E1195="GRID",E1195="FINISHED",E1195="PIT"),0,MAX(Control!$B$15,(INDEX(Drivers!$D$8:$D$13,B1195)+INDEX(Drivers!$E$8:$E$13,B1195)*SIN((A1195+INDEX(Drivers!$F$8:$F$13,B1195)+Control!$B$16)*Control!$B$14))*INDEX(TrackMap!$M$8:$M$141,MOD(INT(D1195)-1,Control!$B$7)+1)*IF(E1195="BOOST",Control!$B$12,1)))</x:f>
        <x:v>0</x:v>
      </x:c>
      <x:c r="G1195" s="83" t="n">
        <x:f>IF(A1195=0,D1195,MIN(Control!$B$17,D1195+F1195))</x:f>
        <x:v>670</x:v>
      </x:c>
      <x:c r="H1195" s="73" t="n">
        <x:f>MOD(INT(G1195)-1,Control!$B$7)+1</x:f>
        <x:v>134</x:v>
      </x:c>
      <x:c r="I1195" s="73" t="n">
        <x:f>MIN(Control!$B$6,MAX(1,INT(MAX(0,G1195)/Control!$B$7)+1))</x:f>
        <x:v>5</x:v>
      </x:c>
      <x:c r="J1195" s="73" t="n">
        <x:f>INDEX(Drivers!$H$8:$H$13,B1195)</x:f>
        <x:v>2</x:v>
      </x:c>
      <x:c r="K1195" s="73" t="n">
        <x:f>IF(J1195=1,INDEX(TrackMap!$I$8:$I$141,H1195),INDEX(TrackMap!$L$8:$L$141,H1195))</x:f>
        <x:v>3017</x:v>
      </x:c>
      <x:c r="L1195" s="73" t="str">
        <x:f>INDEX(TrackMap!$F$8:$F$141,H1195)</x:f>
        <x:v>←</x:v>
      </x:c>
      <x:c r="M1195" s="87" t="n">
        <x:f>MAX(0,G1195/Control!$B$17)</x:f>
        <x:v>1</x:v>
      </x:c>
      <x:c r="N1195" s="73" t="n">
        <x:f>IF(N1189&gt;0,N1189,IF(G1195&gt;=Control!$B$17,A1195,0))</x:f>
        <x:v>196</x:v>
      </x:c>
      <x:c r="O1195" s="91" t="n">
        <x:f>IF(N1195&gt;0,Control!$B$17+Control!$B$8+1-N1195,G1195)-B1195/100000</x:f>
        <x:v>714.99994</x:v>
      </x:c>
      <x:c r="P1195" s="73" t="n">
        <x:f>COUNTIF($O$1190:$O$1195,"&gt;"&amp;O1195)+1</x:f>
        <x:v>4</x:v>
      </x:c>
      <x:c r="Q1195" s="83" t="n">
        <x:f>MAX($G$1190:$G$1195)-G1195</x:f>
        <x:v>0</x:v>
      </x:c>
      <x:c r="R1195" s="73" t="str">
        <x:f>INDEX(TrackMap!$B$8:$B$141,H1195)</x:f>
        <x:v>发车大直道</x:v>
      </x:c>
    </x:row>
    <x:row r="1196" ht="20" customHeight="1">
      <x:c r="A1196" s="73" t="n">
        <x:v>198</x:v>
      </x:c>
      <x:c r="B1196" s="73" t="n">
        <x:v>1</x:v>
      </x:c>
      <x:c r="C1196" s="73" t="str">
        <x:f>INDEX(Drivers!$B$8:$B$13,B1196)</x:f>
        <x:v>赤焰</x:v>
      </x:c>
      <x:c r="D1196" s="83" t="n">
        <x:f>G1190</x:f>
        <x:v>670</x:v>
      </x:c>
      <x:c r="E1196" s="83" t="str">
        <x:f>IF(A1196=0,"GRID",IF(D1196&gt;=Control!$B$17,"FINISHED",IF(AND(A1196&gt;=INDEX(Drivers!$G$8:$G$13,B1196),A1196&lt;INDEX(Drivers!$G$8:$G$13,B1196)+INDEX(Drivers!$J$8:$J$13,B1196)),"PIT",IF(MOD(A1196+INDEX(Drivers!$F$8:$F$13,B1196),Control!$B$11)&lt;Control!$B$13,"BOOST","RACE"))))</x:f>
        <x:v>FINISHED</x:v>
      </x:c>
      <x:c r="F1196" s="83" t="n">
        <x:f>IF(OR(E1196="GRID",E1196="FINISHED",E1196="PIT"),0,MAX(Control!$B$15,(INDEX(Drivers!$D$8:$D$13,B1196)+INDEX(Drivers!$E$8:$E$13,B1196)*SIN((A1196+INDEX(Drivers!$F$8:$F$13,B1196)+Control!$B$16)*Control!$B$14))*INDEX(TrackMap!$M$8:$M$141,MOD(INT(D1196)-1,Control!$B$7)+1)*IF(E1196="BOOST",Control!$B$12,1)))</x:f>
        <x:v>0</x:v>
      </x:c>
      <x:c r="G1196" s="83" t="n">
        <x:f>IF(A1196=0,D1196,MIN(Control!$B$17,D1196+F1196))</x:f>
        <x:v>670</x:v>
      </x:c>
      <x:c r="H1196" s="73" t="n">
        <x:f>MOD(INT(G1196)-1,Control!$B$7)+1</x:f>
        <x:v>134</x:v>
      </x:c>
      <x:c r="I1196" s="73" t="n">
        <x:f>MIN(Control!$B$6,MAX(1,INT(MAX(0,G1196)/Control!$B$7)+1))</x:f>
        <x:v>5</x:v>
      </x:c>
      <x:c r="J1196" s="73" t="n">
        <x:f>INDEX(Drivers!$H$8:$H$13,B1196)</x:f>
        <x:v>1</x:v>
      </x:c>
      <x:c r="K1196" s="73" t="n">
        <x:f>IF(J1196=1,INDEX(TrackMap!$I$8:$I$141,H1196),INDEX(TrackMap!$L$8:$L$141,H1196))</x:f>
        <x:v>3117</x:v>
      </x:c>
      <x:c r="L1196" s="73" t="str">
        <x:f>INDEX(TrackMap!$F$8:$F$141,H1196)</x:f>
        <x:v>←</x:v>
      </x:c>
      <x:c r="M1196" s="87" t="n">
        <x:f>MAX(0,G1196/Control!$B$17)</x:f>
        <x:v>1</x:v>
      </x:c>
      <x:c r="N1196" s="73" t="n">
        <x:f>IF(N1190&gt;0,N1190,IF(G1196&gt;=Control!$B$17,A1196,0))</x:f>
        <x:v>194</x:v>
      </x:c>
      <x:c r="O1196" s="91" t="n">
        <x:f>IF(N1196&gt;0,Control!$B$17+Control!$B$8+1-N1196,G1196)-B1196/100000</x:f>
        <x:v>716.99999</x:v>
      </x:c>
      <x:c r="P1196" s="73" t="n">
        <x:f>COUNTIF($O$1196:$O$1201,"&gt;"&amp;O1196)+1</x:f>
        <x:v>1</x:v>
      </x:c>
      <x:c r="Q1196" s="83" t="n">
        <x:f>MAX($G$1196:$G$1201)-G1196</x:f>
        <x:v>0</x:v>
      </x:c>
      <x:c r="R1196" s="73" t="str">
        <x:f>INDEX(TrackMap!$B$8:$B$141,H1196)</x:f>
        <x:v>发车大直道</x:v>
      </x:c>
    </x:row>
    <x:row r="1197" ht="20" customHeight="1">
      <x:c r="A1197" s="73" t="n">
        <x:v>198</x:v>
      </x:c>
      <x:c r="B1197" s="73" t="n">
        <x:v>2</x:v>
      </x:c>
      <x:c r="C1197" s="73" t="str">
        <x:f>INDEX(Drivers!$B$8:$B$13,B1197)</x:f>
        <x:v>蓝电</x:v>
      </x:c>
      <x:c r="D1197" s="83" t="n">
        <x:f>G1191</x:f>
        <x:v>658.2508544097725</x:v>
      </x:c>
      <x:c r="E1197" s="83" t="str">
        <x:f>IF(A1197=0,"GRID",IF(D1197&gt;=Control!$B$17,"FINISHED",IF(AND(A1197&gt;=INDEX(Drivers!$G$8:$G$13,B1197),A1197&lt;INDEX(Drivers!$G$8:$G$13,B1197)+INDEX(Drivers!$J$8:$J$13,B1197)),"PIT",IF(MOD(A1197+INDEX(Drivers!$F$8:$F$13,B1197),Control!$B$11)&lt;Control!$B$13,"BOOST","RACE"))))</x:f>
        <x:v>RACE</x:v>
      </x:c>
      <x:c r="F1197" s="83" t="n">
        <x:f>IF(OR(E1197="GRID",E1197="FINISHED",E1197="PIT"),0,MAX(Control!$B$15,(INDEX(Drivers!$D$8:$D$13,B1197)+INDEX(Drivers!$E$8:$E$13,B1197)*SIN((A1197+INDEX(Drivers!$F$8:$F$13,B1197)+Control!$B$16)*Control!$B$14))*INDEX(TrackMap!$M$8:$M$141,MOD(INT(D1197)-1,Control!$B$7)+1)*IF(E1197="BOOST",Control!$B$12,1)))</x:f>
        <x:v>3.2162155111575363</x:v>
      </x:c>
      <x:c r="G1197" s="83" t="n">
        <x:f>IF(A1197=0,D1197,MIN(Control!$B$17,D1197+F1197))</x:f>
        <x:v>661.46706992093</x:v>
      </x:c>
      <x:c r="H1197" s="73" t="n">
        <x:f>MOD(INT(G1197)-1,Control!$B$7)+1</x:f>
        <x:v>125</x:v>
      </x:c>
      <x:c r="I1197" s="73" t="n">
        <x:f>MIN(Control!$B$6,MAX(1,INT(MAX(0,G1197)/Control!$B$7)+1))</x:f>
        <x:v>5</x:v>
      </x:c>
      <x:c r="J1197" s="73" t="n">
        <x:f>INDEX(Drivers!$H$8:$H$13,B1197)</x:f>
        <x:v>2</x:v>
      </x:c>
      <x:c r="K1197" s="73" t="n">
        <x:f>IF(J1197=1,INDEX(TrackMap!$I$8:$I$141,H1197),INDEX(TrackMap!$L$8:$L$141,H1197))</x:f>
        <x:v>3026</x:v>
      </x:c>
      <x:c r="L1197" s="73" t="str">
        <x:f>INDEX(TrackMap!$F$8:$F$141,H1197)</x:f>
        <x:v>←</x:v>
      </x:c>
      <x:c r="M1197" s="87" t="n">
        <x:f>MAX(0,G1197/Control!$B$17)</x:f>
        <x:v>0.9872642834640747</x:v>
      </x:c>
      <x:c r="N1197" s="73" t="n">
        <x:f>IF(N1191&gt;0,N1191,IF(G1197&gt;=Control!$B$17,A1197,0))</x:f>
        <x:v>0</x:v>
      </x:c>
      <x:c r="O1197" s="91" t="n">
        <x:f>IF(N1197&gt;0,Control!$B$17+Control!$B$8+1-N1197,G1197)-B1197/100000</x:f>
        <x:v>661.4670499209301</x:v>
      </x:c>
      <x:c r="P1197" s="73" t="n">
        <x:f>COUNTIF($O$1196:$O$1201,"&gt;"&amp;O1197)+1</x:f>
        <x:v>6</x:v>
      </x:c>
      <x:c r="Q1197" s="83" t="n">
        <x:f>MAX($G$1196:$G$1201)-G1197</x:f>
        <x:v>8.532930079069956</x:v>
      </x:c>
      <x:c r="R1197" s="73" t="str">
        <x:f>INDEX(TrackMap!$B$8:$B$141,H1197)</x:f>
        <x:v>发车大直道</x:v>
      </x:c>
    </x:row>
    <x:row r="1198" ht="20" customHeight="1">
      <x:c r="A1198" s="73" t="n">
        <x:v>198</x:v>
      </x:c>
      <x:c r="B1198" s="73" t="n">
        <x:v>3</x:v>
      </x:c>
      <x:c r="C1198" s="73" t="str">
        <x:f>INDEX(Drivers!$B$8:$B$13,B1198)</x:f>
        <x:v>金翼</x:v>
      </x:c>
      <x:c r="D1198" s="83" t="n">
        <x:f>G1192</x:f>
        <x:v>670</x:v>
      </x:c>
      <x:c r="E1198" s="83" t="str">
        <x:f>IF(A1198=0,"GRID",IF(D1198&gt;=Control!$B$17,"FINISHED",IF(AND(A1198&gt;=INDEX(Drivers!$G$8:$G$13,B1198),A1198&lt;INDEX(Drivers!$G$8:$G$13,B1198)+INDEX(Drivers!$J$8:$J$13,B1198)),"PIT",IF(MOD(A1198+INDEX(Drivers!$F$8:$F$13,B1198),Control!$B$11)&lt;Control!$B$13,"BOOST","RACE"))))</x:f>
        <x:v>FINISHED</x:v>
      </x:c>
      <x:c r="F1198" s="83" t="n">
        <x:f>IF(OR(E1198="GRID",E1198="FINISHED",E1198="PIT"),0,MAX(Control!$B$15,(INDEX(Drivers!$D$8:$D$13,B1198)+INDEX(Drivers!$E$8:$E$13,B1198)*SIN((A1198+INDEX(Drivers!$F$8:$F$13,B1198)+Control!$B$16)*Control!$B$14))*INDEX(TrackMap!$M$8:$M$141,MOD(INT(D1198)-1,Control!$B$7)+1)*IF(E1198="BOOST",Control!$B$12,1)))</x:f>
        <x:v>0</x:v>
      </x:c>
      <x:c r="G1198" s="83" t="n">
        <x:f>IF(A1198=0,D1198,MIN(Control!$B$17,D1198+F1198))</x:f>
        <x:v>670</x:v>
      </x:c>
      <x:c r="H1198" s="73" t="n">
        <x:f>MOD(INT(G1198)-1,Control!$B$7)+1</x:f>
        <x:v>134</x:v>
      </x:c>
      <x:c r="I1198" s="73" t="n">
        <x:f>MIN(Control!$B$6,MAX(1,INT(MAX(0,G1198)/Control!$B$7)+1))</x:f>
        <x:v>5</x:v>
      </x:c>
      <x:c r="J1198" s="73" t="n">
        <x:f>INDEX(Drivers!$H$8:$H$13,B1198)</x:f>
        <x:v>1</x:v>
      </x:c>
      <x:c r="K1198" s="73" t="n">
        <x:f>IF(J1198=1,INDEX(TrackMap!$I$8:$I$141,H1198),INDEX(TrackMap!$L$8:$L$141,H1198))</x:f>
        <x:v>3117</x:v>
      </x:c>
      <x:c r="L1198" s="73" t="str">
        <x:f>INDEX(TrackMap!$F$8:$F$141,H1198)</x:f>
        <x:v>←</x:v>
      </x:c>
      <x:c r="M1198" s="87" t="n">
        <x:f>MAX(0,G1198/Control!$B$17)</x:f>
        <x:v>1</x:v>
      </x:c>
      <x:c r="N1198" s="73" t="n">
        <x:f>IF(N1192&gt;0,N1192,IF(G1198&gt;=Control!$B$17,A1198,0))</x:f>
        <x:v>195</x:v>
      </x:c>
      <x:c r="O1198" s="91" t="n">
        <x:f>IF(N1198&gt;0,Control!$B$17+Control!$B$8+1-N1198,G1198)-B1198/100000</x:f>
        <x:v>715.99997</x:v>
      </x:c>
      <x:c r="P1198" s="73" t="n">
        <x:f>COUNTIF($O$1196:$O$1201,"&gt;"&amp;O1198)+1</x:f>
        <x:v>2</x:v>
      </x:c>
      <x:c r="Q1198" s="83" t="n">
        <x:f>MAX($G$1196:$G$1201)-G1198</x:f>
        <x:v>0</x:v>
      </x:c>
      <x:c r="R1198" s="73" t="str">
        <x:f>INDEX(TrackMap!$B$8:$B$141,H1198)</x:f>
        <x:v>发车大直道</x:v>
      </x:c>
    </x:row>
    <x:row r="1199" ht="20" customHeight="1">
      <x:c r="A1199" s="73" t="n">
        <x:v>198</x:v>
      </x:c>
      <x:c r="B1199" s="73" t="n">
        <x:v>4</x:v>
      </x:c>
      <x:c r="C1199" s="73" t="str">
        <x:f>INDEX(Drivers!$B$8:$B$13,B1199)</x:f>
        <x:v>紫影</x:v>
      </x:c>
      <x:c r="D1199" s="83" t="n">
        <x:f>G1193</x:f>
        <x:v>668.513439420612</x:v>
      </x:c>
      <x:c r="E1199" s="83" t="str">
        <x:f>IF(A1199=0,"GRID",IF(D1199&gt;=Control!$B$17,"FINISHED",IF(AND(A1199&gt;=INDEX(Drivers!$G$8:$G$13,B1199),A1199&lt;INDEX(Drivers!$G$8:$G$13,B1199)+INDEX(Drivers!$J$8:$J$13,B1199)),"PIT",IF(MOD(A1199+INDEX(Drivers!$F$8:$F$13,B1199),Control!$B$11)&lt;Control!$B$13,"BOOST","RACE"))))</x:f>
        <x:v>RACE</x:v>
      </x:c>
      <x:c r="F1199" s="83" t="n">
        <x:f>IF(OR(E1199="GRID",E1199="FINISHED",E1199="PIT"),0,MAX(Control!$B$15,(INDEX(Drivers!$D$8:$D$13,B1199)+INDEX(Drivers!$E$8:$E$13,B1199)*SIN((A1199+INDEX(Drivers!$F$8:$F$13,B1199)+Control!$B$16)*Control!$B$14))*INDEX(TrackMap!$M$8:$M$141,MOD(INT(D1199)-1,Control!$B$7)+1)*IF(E1199="BOOST",Control!$B$12,1)))</x:f>
        <x:v>3.0297691435577003</x:v>
      </x:c>
      <x:c r="G1199" s="83" t="n">
        <x:f>IF(A1199=0,D1199,MIN(Control!$B$17,D1199+F1199))</x:f>
        <x:v>670</x:v>
      </x:c>
      <x:c r="H1199" s="73" t="n">
        <x:f>MOD(INT(G1199)-1,Control!$B$7)+1</x:f>
        <x:v>134</x:v>
      </x:c>
      <x:c r="I1199" s="73" t="n">
        <x:f>MIN(Control!$B$6,MAX(1,INT(MAX(0,G1199)/Control!$B$7)+1))</x:f>
        <x:v>5</x:v>
      </x:c>
      <x:c r="J1199" s="73" t="n">
        <x:f>INDEX(Drivers!$H$8:$H$13,B1199)</x:f>
        <x:v>2</x:v>
      </x:c>
      <x:c r="K1199" s="73" t="n">
        <x:f>IF(J1199=1,INDEX(TrackMap!$I$8:$I$141,H1199),INDEX(TrackMap!$L$8:$L$141,H1199))</x:f>
        <x:v>3017</x:v>
      </x:c>
      <x:c r="L1199" s="73" t="str">
        <x:f>INDEX(TrackMap!$F$8:$F$141,H1199)</x:f>
        <x:v>←</x:v>
      </x:c>
      <x:c r="M1199" s="87" t="n">
        <x:f>MAX(0,G1199/Control!$B$17)</x:f>
        <x:v>1</x:v>
      </x:c>
      <x:c r="N1199" s="73" t="n">
        <x:f>IF(N1193&gt;0,N1193,IF(G1199&gt;=Control!$B$17,A1199,0))</x:f>
        <x:v>198</x:v>
      </x:c>
      <x:c r="O1199" s="91" t="n">
        <x:f>IF(N1199&gt;0,Control!$B$17+Control!$B$8+1-N1199,G1199)-B1199/100000</x:f>
        <x:v>712.99996</x:v>
      </x:c>
      <x:c r="P1199" s="73" t="n">
        <x:f>COUNTIF($O$1196:$O$1201,"&gt;"&amp;O1199)+1</x:f>
        <x:v>5</x:v>
      </x:c>
      <x:c r="Q1199" s="83" t="n">
        <x:f>MAX($G$1196:$G$1201)-G1199</x:f>
        <x:v>0</x:v>
      </x:c>
      <x:c r="R1199" s="73" t="str">
        <x:f>INDEX(TrackMap!$B$8:$B$141,H1199)</x:f>
        <x:v>发车大直道</x:v>
      </x:c>
    </x:row>
    <x:row r="1200" ht="20" customHeight="1">
      <x:c r="A1200" s="73" t="n">
        <x:v>198</x:v>
      </x:c>
      <x:c r="B1200" s="73" t="n">
        <x:v>5</x:v>
      </x:c>
      <x:c r="C1200" s="73" t="str">
        <x:f>INDEX(Drivers!$B$8:$B$13,B1200)</x:f>
        <x:v>青锋</x:v>
      </x:c>
      <x:c r="D1200" s="83" t="n">
        <x:f>G1194</x:f>
        <x:v>670</x:v>
      </x:c>
      <x:c r="E1200" s="83" t="str">
        <x:f>IF(A1200=0,"GRID",IF(D1200&gt;=Control!$B$17,"FINISHED",IF(AND(A1200&gt;=INDEX(Drivers!$G$8:$G$13,B1200),A1200&lt;INDEX(Drivers!$G$8:$G$13,B1200)+INDEX(Drivers!$J$8:$J$13,B1200)),"PIT",IF(MOD(A1200+INDEX(Drivers!$F$8:$F$13,B1200),Control!$B$11)&lt;Control!$B$13,"BOOST","RACE"))))</x:f>
        <x:v>FINISHED</x:v>
      </x:c>
      <x:c r="F1200" s="83" t="n">
        <x:f>IF(OR(E1200="GRID",E1200="FINISHED",E1200="PIT"),0,MAX(Control!$B$15,(INDEX(Drivers!$D$8:$D$13,B1200)+INDEX(Drivers!$E$8:$E$13,B1200)*SIN((A1200+INDEX(Drivers!$F$8:$F$13,B1200)+Control!$B$16)*Control!$B$14))*INDEX(TrackMap!$M$8:$M$141,MOD(INT(D1200)-1,Control!$B$7)+1)*IF(E1200="BOOST",Control!$B$12,1)))</x:f>
        <x:v>0</x:v>
      </x:c>
      <x:c r="G1200" s="83" t="n">
        <x:f>IF(A1200=0,D1200,MIN(Control!$B$17,D1200+F1200))</x:f>
        <x:v>670</x:v>
      </x:c>
      <x:c r="H1200" s="73" t="n">
        <x:f>MOD(INT(G1200)-1,Control!$B$7)+1</x:f>
        <x:v>134</x:v>
      </x:c>
      <x:c r="I1200" s="73" t="n">
        <x:f>MIN(Control!$B$6,MAX(1,INT(MAX(0,G1200)/Control!$B$7)+1))</x:f>
        <x:v>5</x:v>
      </x:c>
      <x:c r="J1200" s="73" t="n">
        <x:f>INDEX(Drivers!$H$8:$H$13,B1200)</x:f>
        <x:v>1</x:v>
      </x:c>
      <x:c r="K1200" s="73" t="n">
        <x:f>IF(J1200=1,INDEX(TrackMap!$I$8:$I$141,H1200),INDEX(TrackMap!$L$8:$L$141,H1200))</x:f>
        <x:v>3117</x:v>
      </x:c>
      <x:c r="L1200" s="73" t="str">
        <x:f>INDEX(TrackMap!$F$8:$F$141,H1200)</x:f>
        <x:v>←</x:v>
      </x:c>
      <x:c r="M1200" s="87" t="n">
        <x:f>MAX(0,G1200/Control!$B$17)</x:f>
        <x:v>1</x:v>
      </x:c>
      <x:c r="N1200" s="73" t="n">
        <x:f>IF(N1194&gt;0,N1194,IF(G1200&gt;=Control!$B$17,A1200,0))</x:f>
        <x:v>195</x:v>
      </x:c>
      <x:c r="O1200" s="91" t="n">
        <x:f>IF(N1200&gt;0,Control!$B$17+Control!$B$8+1-N1200,G1200)-B1200/100000</x:f>
        <x:v>715.99995</x:v>
      </x:c>
      <x:c r="P1200" s="73" t="n">
        <x:f>COUNTIF($O$1196:$O$1201,"&gt;"&amp;O1200)+1</x:f>
        <x:v>3</x:v>
      </x:c>
      <x:c r="Q1200" s="83" t="n">
        <x:f>MAX($G$1196:$G$1201)-G1200</x:f>
        <x:v>0</x:v>
      </x:c>
      <x:c r="R1200" s="73" t="str">
        <x:f>INDEX(TrackMap!$B$8:$B$141,H1200)</x:f>
        <x:v>发车大直道</x:v>
      </x:c>
    </x:row>
    <x:row r="1201" ht="20" customHeight="1">
      <x:c r="A1201" s="73" t="n">
        <x:v>198</x:v>
      </x:c>
      <x:c r="B1201" s="73" t="n">
        <x:v>6</x:v>
      </x:c>
      <x:c r="C1201" s="73" t="str">
        <x:f>INDEX(Drivers!$B$8:$B$13,B1201)</x:f>
        <x:v>玫速</x:v>
      </x:c>
      <x:c r="D1201" s="83" t="n">
        <x:f>G1195</x:f>
        <x:v>670</x:v>
      </x:c>
      <x:c r="E1201" s="83" t="str">
        <x:f>IF(A1201=0,"GRID",IF(D1201&gt;=Control!$B$17,"FINISHED",IF(AND(A1201&gt;=INDEX(Drivers!$G$8:$G$13,B1201),A1201&lt;INDEX(Drivers!$G$8:$G$13,B1201)+INDEX(Drivers!$J$8:$J$13,B1201)),"PIT",IF(MOD(A1201+INDEX(Drivers!$F$8:$F$13,B1201),Control!$B$11)&lt;Control!$B$13,"BOOST","RACE"))))</x:f>
        <x:v>FINISHED</x:v>
      </x:c>
      <x:c r="F1201" s="83" t="n">
        <x:f>IF(OR(E1201="GRID",E1201="FINISHED",E1201="PIT"),0,MAX(Control!$B$15,(INDEX(Drivers!$D$8:$D$13,B1201)+INDEX(Drivers!$E$8:$E$13,B1201)*SIN((A1201+INDEX(Drivers!$F$8:$F$13,B1201)+Control!$B$16)*Control!$B$14))*INDEX(TrackMap!$M$8:$M$141,MOD(INT(D1201)-1,Control!$B$7)+1)*IF(E1201="BOOST",Control!$B$12,1)))</x:f>
        <x:v>0</x:v>
      </x:c>
      <x:c r="G1201" s="83" t="n">
        <x:f>IF(A1201=0,D1201,MIN(Control!$B$17,D1201+F1201))</x:f>
        <x:v>670</x:v>
      </x:c>
      <x:c r="H1201" s="73" t="n">
        <x:f>MOD(INT(G1201)-1,Control!$B$7)+1</x:f>
        <x:v>134</x:v>
      </x:c>
      <x:c r="I1201" s="73" t="n">
        <x:f>MIN(Control!$B$6,MAX(1,INT(MAX(0,G1201)/Control!$B$7)+1))</x:f>
        <x:v>5</x:v>
      </x:c>
      <x:c r="J1201" s="73" t="n">
        <x:f>INDEX(Drivers!$H$8:$H$13,B1201)</x:f>
        <x:v>2</x:v>
      </x:c>
      <x:c r="K1201" s="73" t="n">
        <x:f>IF(J1201=1,INDEX(TrackMap!$I$8:$I$141,H1201),INDEX(TrackMap!$L$8:$L$141,H1201))</x:f>
        <x:v>3017</x:v>
      </x:c>
      <x:c r="L1201" s="73" t="str">
        <x:f>INDEX(TrackMap!$F$8:$F$141,H1201)</x:f>
        <x:v>←</x:v>
      </x:c>
      <x:c r="M1201" s="87" t="n">
        <x:f>MAX(0,G1201/Control!$B$17)</x:f>
        <x:v>1</x:v>
      </x:c>
      <x:c r="N1201" s="73" t="n">
        <x:f>IF(N1195&gt;0,N1195,IF(G1201&gt;=Control!$B$17,A1201,0))</x:f>
        <x:v>196</x:v>
      </x:c>
      <x:c r="O1201" s="91" t="n">
        <x:f>IF(N1201&gt;0,Control!$B$17+Control!$B$8+1-N1201,G1201)-B1201/100000</x:f>
        <x:v>714.99994</x:v>
      </x:c>
      <x:c r="P1201" s="73" t="n">
        <x:f>COUNTIF($O$1196:$O$1201,"&gt;"&amp;O1201)+1</x:f>
        <x:v>4</x:v>
      </x:c>
      <x:c r="Q1201" s="83" t="n">
        <x:f>MAX($G$1196:$G$1201)-G1201</x:f>
        <x:v>0</x:v>
      </x:c>
      <x:c r="R1201" s="73" t="str">
        <x:f>INDEX(TrackMap!$B$8:$B$141,H1201)</x:f>
        <x:v>发车大直道</x:v>
      </x:c>
    </x:row>
    <x:row r="1202" ht="20" customHeight="1">
      <x:c r="A1202" s="73" t="n">
        <x:v>199</x:v>
      </x:c>
      <x:c r="B1202" s="73" t="n">
        <x:v>1</x:v>
      </x:c>
      <x:c r="C1202" s="73" t="str">
        <x:f>INDEX(Drivers!$B$8:$B$13,B1202)</x:f>
        <x:v>赤焰</x:v>
      </x:c>
      <x:c r="D1202" s="83" t="n">
        <x:f>G1196</x:f>
        <x:v>670</x:v>
      </x:c>
      <x:c r="E1202" s="83" t="str">
        <x:f>IF(A1202=0,"GRID",IF(D1202&gt;=Control!$B$17,"FINISHED",IF(AND(A1202&gt;=INDEX(Drivers!$G$8:$G$13,B1202),A1202&lt;INDEX(Drivers!$G$8:$G$13,B1202)+INDEX(Drivers!$J$8:$J$13,B1202)),"PIT",IF(MOD(A1202+INDEX(Drivers!$F$8:$F$13,B1202),Control!$B$11)&lt;Control!$B$13,"BOOST","RACE"))))</x:f>
        <x:v>FINISHED</x:v>
      </x:c>
      <x:c r="F1202" s="83" t="n">
        <x:f>IF(OR(E1202="GRID",E1202="FINISHED",E1202="PIT"),0,MAX(Control!$B$15,(INDEX(Drivers!$D$8:$D$13,B1202)+INDEX(Drivers!$E$8:$E$13,B1202)*SIN((A1202+INDEX(Drivers!$F$8:$F$13,B1202)+Control!$B$16)*Control!$B$14))*INDEX(TrackMap!$M$8:$M$141,MOD(INT(D1202)-1,Control!$B$7)+1)*IF(E1202="BOOST",Control!$B$12,1)))</x:f>
        <x:v>0</x:v>
      </x:c>
      <x:c r="G1202" s="83" t="n">
        <x:f>IF(A1202=0,D1202,MIN(Control!$B$17,D1202+F1202))</x:f>
        <x:v>670</x:v>
      </x:c>
      <x:c r="H1202" s="73" t="n">
        <x:f>MOD(INT(G1202)-1,Control!$B$7)+1</x:f>
        <x:v>134</x:v>
      </x:c>
      <x:c r="I1202" s="73" t="n">
        <x:f>MIN(Control!$B$6,MAX(1,INT(MAX(0,G1202)/Control!$B$7)+1))</x:f>
        <x:v>5</x:v>
      </x:c>
      <x:c r="J1202" s="73" t="n">
        <x:f>INDEX(Drivers!$H$8:$H$13,B1202)</x:f>
        <x:v>1</x:v>
      </x:c>
      <x:c r="K1202" s="73" t="n">
        <x:f>IF(J1202=1,INDEX(TrackMap!$I$8:$I$141,H1202),INDEX(TrackMap!$L$8:$L$141,H1202))</x:f>
        <x:v>3117</x:v>
      </x:c>
      <x:c r="L1202" s="73" t="str">
        <x:f>INDEX(TrackMap!$F$8:$F$141,H1202)</x:f>
        <x:v>←</x:v>
      </x:c>
      <x:c r="M1202" s="87" t="n">
        <x:f>MAX(0,G1202/Control!$B$17)</x:f>
        <x:v>1</x:v>
      </x:c>
      <x:c r="N1202" s="73" t="n">
        <x:f>IF(N1196&gt;0,N1196,IF(G1202&gt;=Control!$B$17,A1202,0))</x:f>
        <x:v>194</x:v>
      </x:c>
      <x:c r="O1202" s="91" t="n">
        <x:f>IF(N1202&gt;0,Control!$B$17+Control!$B$8+1-N1202,G1202)-B1202/100000</x:f>
        <x:v>716.99999</x:v>
      </x:c>
      <x:c r="P1202" s="73" t="n">
        <x:f>COUNTIF($O$1202:$O$1207,"&gt;"&amp;O1202)+1</x:f>
        <x:v>1</x:v>
      </x:c>
      <x:c r="Q1202" s="83" t="n">
        <x:f>MAX($G$1202:$G$1207)-G1202</x:f>
        <x:v>0</x:v>
      </x:c>
      <x:c r="R1202" s="73" t="str">
        <x:f>INDEX(TrackMap!$B$8:$B$141,H1202)</x:f>
        <x:v>发车大直道</x:v>
      </x:c>
    </x:row>
    <x:row r="1203" ht="20" customHeight="1">
      <x:c r="A1203" s="73" t="n">
        <x:v>199</x:v>
      </x:c>
      <x:c r="B1203" s="73" t="n">
        <x:v>2</x:v>
      </x:c>
      <x:c r="C1203" s="73" t="str">
        <x:f>INDEX(Drivers!$B$8:$B$13,B1203)</x:f>
        <x:v>蓝电</x:v>
      </x:c>
      <x:c r="D1203" s="83" t="n">
        <x:f>G1197</x:f>
        <x:v>661.46706992093</x:v>
      </x:c>
      <x:c r="E1203" s="83" t="str">
        <x:f>IF(A1203=0,"GRID",IF(D1203&gt;=Control!$B$17,"FINISHED",IF(AND(A1203&gt;=INDEX(Drivers!$G$8:$G$13,B1203),A1203&lt;INDEX(Drivers!$G$8:$G$13,B1203)+INDEX(Drivers!$J$8:$J$13,B1203)),"PIT",IF(MOD(A1203+INDEX(Drivers!$F$8:$F$13,B1203),Control!$B$11)&lt;Control!$B$13,"BOOST","RACE"))))</x:f>
        <x:v>RACE</x:v>
      </x:c>
      <x:c r="F1203" s="83" t="n">
        <x:f>IF(OR(E1203="GRID",E1203="FINISHED",E1203="PIT"),0,MAX(Control!$B$15,(INDEX(Drivers!$D$8:$D$13,B1203)+INDEX(Drivers!$E$8:$E$13,B1203)*SIN((A1203+INDEX(Drivers!$F$8:$F$13,B1203)+Control!$B$16)*Control!$B$14))*INDEX(TrackMap!$M$8:$M$141,MOD(INT(D1203)-1,Control!$B$7)+1)*IF(E1203="BOOST",Control!$B$12,1)))</x:f>
        <x:v>3.413374303297794</x:v>
      </x:c>
      <x:c r="G1203" s="83" t="n">
        <x:f>IF(A1203=0,D1203,MIN(Control!$B$17,D1203+F1203))</x:f>
        <x:v>664.8804442242279</x:v>
      </x:c>
      <x:c r="H1203" s="73" t="n">
        <x:f>MOD(INT(G1203)-1,Control!$B$7)+1</x:f>
        <x:v>128</x:v>
      </x:c>
      <x:c r="I1203" s="73" t="n">
        <x:f>MIN(Control!$B$6,MAX(1,INT(MAX(0,G1203)/Control!$B$7)+1))</x:f>
        <x:v>5</x:v>
      </x:c>
      <x:c r="J1203" s="73" t="n">
        <x:f>INDEX(Drivers!$H$8:$H$13,B1203)</x:f>
        <x:v>2</x:v>
      </x:c>
      <x:c r="K1203" s="73" t="n">
        <x:f>IF(J1203=1,INDEX(TrackMap!$I$8:$I$141,H1203),INDEX(TrackMap!$L$8:$L$141,H1203))</x:f>
        <x:v>3023</x:v>
      </x:c>
      <x:c r="L1203" s="73" t="str">
        <x:f>INDEX(TrackMap!$F$8:$F$141,H1203)</x:f>
        <x:v>←</x:v>
      </x:c>
      <x:c r="M1203" s="87" t="n">
        <x:f>MAX(0,G1203/Control!$B$17)</x:f>
        <x:v>0.9923588719764594</x:v>
      </x:c>
      <x:c r="N1203" s="73" t="n">
        <x:f>IF(N1197&gt;0,N1197,IF(G1203&gt;=Control!$B$17,A1203,0))</x:f>
        <x:v>0</x:v>
      </x:c>
      <x:c r="O1203" s="91" t="n">
        <x:f>IF(N1203&gt;0,Control!$B$17+Control!$B$8+1-N1203,G1203)-B1203/100000</x:f>
        <x:v>664.8804242242279</x:v>
      </x:c>
      <x:c r="P1203" s="73" t="n">
        <x:f>COUNTIF($O$1202:$O$1207,"&gt;"&amp;O1203)+1</x:f>
        <x:v>6</x:v>
      </x:c>
      <x:c r="Q1203" s="83" t="n">
        <x:f>MAX($G$1202:$G$1207)-G1203</x:f>
        <x:v>5.119555775772142</x:v>
      </x:c>
      <x:c r="R1203" s="73" t="str">
        <x:f>INDEX(TrackMap!$B$8:$B$141,H1203)</x:f>
        <x:v>发车大直道</x:v>
      </x:c>
    </x:row>
    <x:row r="1204" ht="20" customHeight="1">
      <x:c r="A1204" s="73" t="n">
        <x:v>199</x:v>
      </x:c>
      <x:c r="B1204" s="73" t="n">
        <x:v>3</x:v>
      </x:c>
      <x:c r="C1204" s="73" t="str">
        <x:f>INDEX(Drivers!$B$8:$B$13,B1204)</x:f>
        <x:v>金翼</x:v>
      </x:c>
      <x:c r="D1204" s="83" t="n">
        <x:f>G1198</x:f>
        <x:v>670</x:v>
      </x:c>
      <x:c r="E1204" s="83" t="str">
        <x:f>IF(A1204=0,"GRID",IF(D1204&gt;=Control!$B$17,"FINISHED",IF(AND(A1204&gt;=INDEX(Drivers!$G$8:$G$13,B1204),A1204&lt;INDEX(Drivers!$G$8:$G$13,B1204)+INDEX(Drivers!$J$8:$J$13,B1204)),"PIT",IF(MOD(A1204+INDEX(Drivers!$F$8:$F$13,B1204),Control!$B$11)&lt;Control!$B$13,"BOOST","RACE"))))</x:f>
        <x:v>FINISHED</x:v>
      </x:c>
      <x:c r="F1204" s="83" t="n">
        <x:f>IF(OR(E1204="GRID",E1204="FINISHED",E1204="PIT"),0,MAX(Control!$B$15,(INDEX(Drivers!$D$8:$D$13,B1204)+INDEX(Drivers!$E$8:$E$13,B1204)*SIN((A1204+INDEX(Drivers!$F$8:$F$13,B1204)+Control!$B$16)*Control!$B$14))*INDEX(TrackMap!$M$8:$M$141,MOD(INT(D1204)-1,Control!$B$7)+1)*IF(E1204="BOOST",Control!$B$12,1)))</x:f>
        <x:v>0</x:v>
      </x:c>
      <x:c r="G1204" s="83" t="n">
        <x:f>IF(A1204=0,D1204,MIN(Control!$B$17,D1204+F1204))</x:f>
        <x:v>670</x:v>
      </x:c>
      <x:c r="H1204" s="73" t="n">
        <x:f>MOD(INT(G1204)-1,Control!$B$7)+1</x:f>
        <x:v>134</x:v>
      </x:c>
      <x:c r="I1204" s="73" t="n">
        <x:f>MIN(Control!$B$6,MAX(1,INT(MAX(0,G1204)/Control!$B$7)+1))</x:f>
        <x:v>5</x:v>
      </x:c>
      <x:c r="J1204" s="73" t="n">
        <x:f>INDEX(Drivers!$H$8:$H$13,B1204)</x:f>
        <x:v>1</x:v>
      </x:c>
      <x:c r="K1204" s="73" t="n">
        <x:f>IF(J1204=1,INDEX(TrackMap!$I$8:$I$141,H1204),INDEX(TrackMap!$L$8:$L$141,H1204))</x:f>
        <x:v>3117</x:v>
      </x:c>
      <x:c r="L1204" s="73" t="str">
        <x:f>INDEX(TrackMap!$F$8:$F$141,H1204)</x:f>
        <x:v>←</x:v>
      </x:c>
      <x:c r="M1204" s="87" t="n">
        <x:f>MAX(0,G1204/Control!$B$17)</x:f>
        <x:v>1</x:v>
      </x:c>
      <x:c r="N1204" s="73" t="n">
        <x:f>IF(N1198&gt;0,N1198,IF(G1204&gt;=Control!$B$17,A1204,0))</x:f>
        <x:v>195</x:v>
      </x:c>
      <x:c r="O1204" s="91" t="n">
        <x:f>IF(N1204&gt;0,Control!$B$17+Control!$B$8+1-N1204,G1204)-B1204/100000</x:f>
        <x:v>715.99997</x:v>
      </x:c>
      <x:c r="P1204" s="73" t="n">
        <x:f>COUNTIF($O$1202:$O$1207,"&gt;"&amp;O1204)+1</x:f>
        <x:v>2</x:v>
      </x:c>
      <x:c r="Q1204" s="83" t="n">
        <x:f>MAX($G$1202:$G$1207)-G1204</x:f>
        <x:v>0</x:v>
      </x:c>
      <x:c r="R1204" s="73" t="str">
        <x:f>INDEX(TrackMap!$B$8:$B$141,H1204)</x:f>
        <x:v>发车大直道</x:v>
      </x:c>
    </x:row>
    <x:row r="1205" ht="20" customHeight="1">
      <x:c r="A1205" s="73" t="n">
        <x:v>199</x:v>
      </x:c>
      <x:c r="B1205" s="73" t="n">
        <x:v>4</x:v>
      </x:c>
      <x:c r="C1205" s="73" t="str">
        <x:f>INDEX(Drivers!$B$8:$B$13,B1205)</x:f>
        <x:v>紫影</x:v>
      </x:c>
      <x:c r="D1205" s="83" t="n">
        <x:f>G1199</x:f>
        <x:v>670</x:v>
      </x:c>
      <x:c r="E1205" s="83" t="str">
        <x:f>IF(A1205=0,"GRID",IF(D1205&gt;=Control!$B$17,"FINISHED",IF(AND(A1205&gt;=INDEX(Drivers!$G$8:$G$13,B1205),A1205&lt;INDEX(Drivers!$G$8:$G$13,B1205)+INDEX(Drivers!$J$8:$J$13,B1205)),"PIT",IF(MOD(A1205+INDEX(Drivers!$F$8:$F$13,B1205),Control!$B$11)&lt;Control!$B$13,"BOOST","RACE"))))</x:f>
        <x:v>FINISHED</x:v>
      </x:c>
      <x:c r="F1205" s="83" t="n">
        <x:f>IF(OR(E1205="GRID",E1205="FINISHED",E1205="PIT"),0,MAX(Control!$B$15,(INDEX(Drivers!$D$8:$D$13,B1205)+INDEX(Drivers!$E$8:$E$13,B1205)*SIN((A1205+INDEX(Drivers!$F$8:$F$13,B1205)+Control!$B$16)*Control!$B$14))*INDEX(TrackMap!$M$8:$M$141,MOD(INT(D1205)-1,Control!$B$7)+1)*IF(E1205="BOOST",Control!$B$12,1)))</x:f>
        <x:v>0</x:v>
      </x:c>
      <x:c r="G1205" s="83" t="n">
        <x:f>IF(A1205=0,D1205,MIN(Control!$B$17,D1205+F1205))</x:f>
        <x:v>670</x:v>
      </x:c>
      <x:c r="H1205" s="73" t="n">
        <x:f>MOD(INT(G1205)-1,Control!$B$7)+1</x:f>
        <x:v>134</x:v>
      </x:c>
      <x:c r="I1205" s="73" t="n">
        <x:f>MIN(Control!$B$6,MAX(1,INT(MAX(0,G1205)/Control!$B$7)+1))</x:f>
        <x:v>5</x:v>
      </x:c>
      <x:c r="J1205" s="73" t="n">
        <x:f>INDEX(Drivers!$H$8:$H$13,B1205)</x:f>
        <x:v>2</x:v>
      </x:c>
      <x:c r="K1205" s="73" t="n">
        <x:f>IF(J1205=1,INDEX(TrackMap!$I$8:$I$141,H1205),INDEX(TrackMap!$L$8:$L$141,H1205))</x:f>
        <x:v>3017</x:v>
      </x:c>
      <x:c r="L1205" s="73" t="str">
        <x:f>INDEX(TrackMap!$F$8:$F$141,H1205)</x:f>
        <x:v>←</x:v>
      </x:c>
      <x:c r="M1205" s="87" t="n">
        <x:f>MAX(0,G1205/Control!$B$17)</x:f>
        <x:v>1</x:v>
      </x:c>
      <x:c r="N1205" s="73" t="n">
        <x:f>IF(N1199&gt;0,N1199,IF(G1205&gt;=Control!$B$17,A1205,0))</x:f>
        <x:v>198</x:v>
      </x:c>
      <x:c r="O1205" s="91" t="n">
        <x:f>IF(N1205&gt;0,Control!$B$17+Control!$B$8+1-N1205,G1205)-B1205/100000</x:f>
        <x:v>712.99996</x:v>
      </x:c>
      <x:c r="P1205" s="73" t="n">
        <x:f>COUNTIF($O$1202:$O$1207,"&gt;"&amp;O1205)+1</x:f>
        <x:v>5</x:v>
      </x:c>
      <x:c r="Q1205" s="83" t="n">
        <x:f>MAX($G$1202:$G$1207)-G1205</x:f>
        <x:v>0</x:v>
      </x:c>
      <x:c r="R1205" s="73" t="str">
        <x:f>INDEX(TrackMap!$B$8:$B$141,H1205)</x:f>
        <x:v>发车大直道</x:v>
      </x:c>
    </x:row>
    <x:row r="1206" ht="20" customHeight="1">
      <x:c r="A1206" s="73" t="n">
        <x:v>199</x:v>
      </x:c>
      <x:c r="B1206" s="73" t="n">
        <x:v>5</x:v>
      </x:c>
      <x:c r="C1206" s="73" t="str">
        <x:f>INDEX(Drivers!$B$8:$B$13,B1206)</x:f>
        <x:v>青锋</x:v>
      </x:c>
      <x:c r="D1206" s="83" t="n">
        <x:f>G1200</x:f>
        <x:v>670</x:v>
      </x:c>
      <x:c r="E1206" s="83" t="str">
        <x:f>IF(A1206=0,"GRID",IF(D1206&gt;=Control!$B$17,"FINISHED",IF(AND(A1206&gt;=INDEX(Drivers!$G$8:$G$13,B1206),A1206&lt;INDEX(Drivers!$G$8:$G$13,B1206)+INDEX(Drivers!$J$8:$J$13,B1206)),"PIT",IF(MOD(A1206+INDEX(Drivers!$F$8:$F$13,B1206),Control!$B$11)&lt;Control!$B$13,"BOOST","RACE"))))</x:f>
        <x:v>FINISHED</x:v>
      </x:c>
      <x:c r="F1206" s="83" t="n">
        <x:f>IF(OR(E1206="GRID",E1206="FINISHED",E1206="PIT"),0,MAX(Control!$B$15,(INDEX(Drivers!$D$8:$D$13,B1206)+INDEX(Drivers!$E$8:$E$13,B1206)*SIN((A1206+INDEX(Drivers!$F$8:$F$13,B1206)+Control!$B$16)*Control!$B$14))*INDEX(TrackMap!$M$8:$M$141,MOD(INT(D1206)-1,Control!$B$7)+1)*IF(E1206="BOOST",Control!$B$12,1)))</x:f>
        <x:v>0</x:v>
      </x:c>
      <x:c r="G1206" s="83" t="n">
        <x:f>IF(A1206=0,D1206,MIN(Control!$B$17,D1206+F1206))</x:f>
        <x:v>670</x:v>
      </x:c>
      <x:c r="H1206" s="73" t="n">
        <x:f>MOD(INT(G1206)-1,Control!$B$7)+1</x:f>
        <x:v>134</x:v>
      </x:c>
      <x:c r="I1206" s="73" t="n">
        <x:f>MIN(Control!$B$6,MAX(1,INT(MAX(0,G1206)/Control!$B$7)+1))</x:f>
        <x:v>5</x:v>
      </x:c>
      <x:c r="J1206" s="73" t="n">
        <x:f>INDEX(Drivers!$H$8:$H$13,B1206)</x:f>
        <x:v>1</x:v>
      </x:c>
      <x:c r="K1206" s="73" t="n">
        <x:f>IF(J1206=1,INDEX(TrackMap!$I$8:$I$141,H1206),INDEX(TrackMap!$L$8:$L$141,H1206))</x:f>
        <x:v>3117</x:v>
      </x:c>
      <x:c r="L1206" s="73" t="str">
        <x:f>INDEX(TrackMap!$F$8:$F$141,H1206)</x:f>
        <x:v>←</x:v>
      </x:c>
      <x:c r="M1206" s="87" t="n">
        <x:f>MAX(0,G1206/Control!$B$17)</x:f>
        <x:v>1</x:v>
      </x:c>
      <x:c r="N1206" s="73" t="n">
        <x:f>IF(N1200&gt;0,N1200,IF(G1206&gt;=Control!$B$17,A1206,0))</x:f>
        <x:v>195</x:v>
      </x:c>
      <x:c r="O1206" s="91" t="n">
        <x:f>IF(N1206&gt;0,Control!$B$17+Control!$B$8+1-N1206,G1206)-B1206/100000</x:f>
        <x:v>715.99995</x:v>
      </x:c>
      <x:c r="P1206" s="73" t="n">
        <x:f>COUNTIF($O$1202:$O$1207,"&gt;"&amp;O1206)+1</x:f>
        <x:v>3</x:v>
      </x:c>
      <x:c r="Q1206" s="83" t="n">
        <x:f>MAX($G$1202:$G$1207)-G1206</x:f>
        <x:v>0</x:v>
      </x:c>
      <x:c r="R1206" s="73" t="str">
        <x:f>INDEX(TrackMap!$B$8:$B$141,H1206)</x:f>
        <x:v>发车大直道</x:v>
      </x:c>
    </x:row>
    <x:row r="1207" ht="20" customHeight="1">
      <x:c r="A1207" s="73" t="n">
        <x:v>199</x:v>
      </x:c>
      <x:c r="B1207" s="73" t="n">
        <x:v>6</x:v>
      </x:c>
      <x:c r="C1207" s="73" t="str">
        <x:f>INDEX(Drivers!$B$8:$B$13,B1207)</x:f>
        <x:v>玫速</x:v>
      </x:c>
      <x:c r="D1207" s="83" t="n">
        <x:f>G1201</x:f>
        <x:v>670</x:v>
      </x:c>
      <x:c r="E1207" s="83" t="str">
        <x:f>IF(A1207=0,"GRID",IF(D1207&gt;=Control!$B$17,"FINISHED",IF(AND(A1207&gt;=INDEX(Drivers!$G$8:$G$13,B1207),A1207&lt;INDEX(Drivers!$G$8:$G$13,B1207)+INDEX(Drivers!$J$8:$J$13,B1207)),"PIT",IF(MOD(A1207+INDEX(Drivers!$F$8:$F$13,B1207),Control!$B$11)&lt;Control!$B$13,"BOOST","RACE"))))</x:f>
        <x:v>FINISHED</x:v>
      </x:c>
      <x:c r="F1207" s="83" t="n">
        <x:f>IF(OR(E1207="GRID",E1207="FINISHED",E1207="PIT"),0,MAX(Control!$B$15,(INDEX(Drivers!$D$8:$D$13,B1207)+INDEX(Drivers!$E$8:$E$13,B1207)*SIN((A1207+INDEX(Drivers!$F$8:$F$13,B1207)+Control!$B$16)*Control!$B$14))*INDEX(TrackMap!$M$8:$M$141,MOD(INT(D1207)-1,Control!$B$7)+1)*IF(E1207="BOOST",Control!$B$12,1)))</x:f>
        <x:v>0</x:v>
      </x:c>
      <x:c r="G1207" s="83" t="n">
        <x:f>IF(A1207=0,D1207,MIN(Control!$B$17,D1207+F1207))</x:f>
        <x:v>670</x:v>
      </x:c>
      <x:c r="H1207" s="73" t="n">
        <x:f>MOD(INT(G1207)-1,Control!$B$7)+1</x:f>
        <x:v>134</x:v>
      </x:c>
      <x:c r="I1207" s="73" t="n">
        <x:f>MIN(Control!$B$6,MAX(1,INT(MAX(0,G1207)/Control!$B$7)+1))</x:f>
        <x:v>5</x:v>
      </x:c>
      <x:c r="J1207" s="73" t="n">
        <x:f>INDEX(Drivers!$H$8:$H$13,B1207)</x:f>
        <x:v>2</x:v>
      </x:c>
      <x:c r="K1207" s="73" t="n">
        <x:f>IF(J1207=1,INDEX(TrackMap!$I$8:$I$141,H1207),INDEX(TrackMap!$L$8:$L$141,H1207))</x:f>
        <x:v>3017</x:v>
      </x:c>
      <x:c r="L1207" s="73" t="str">
        <x:f>INDEX(TrackMap!$F$8:$F$141,H1207)</x:f>
        <x:v>←</x:v>
      </x:c>
      <x:c r="M1207" s="87" t="n">
        <x:f>MAX(0,G1207/Control!$B$17)</x:f>
        <x:v>1</x:v>
      </x:c>
      <x:c r="N1207" s="73" t="n">
        <x:f>IF(N1201&gt;0,N1201,IF(G1207&gt;=Control!$B$17,A1207,0))</x:f>
        <x:v>196</x:v>
      </x:c>
      <x:c r="O1207" s="91" t="n">
        <x:f>IF(N1207&gt;0,Control!$B$17+Control!$B$8+1-N1207,G1207)-B1207/100000</x:f>
        <x:v>714.99994</x:v>
      </x:c>
      <x:c r="P1207" s="73" t="n">
        <x:f>COUNTIF($O$1202:$O$1207,"&gt;"&amp;O1207)+1</x:f>
        <x:v>4</x:v>
      </x:c>
      <x:c r="Q1207" s="83" t="n">
        <x:f>MAX($G$1202:$G$1207)-G1207</x:f>
        <x:v>0</x:v>
      </x:c>
      <x:c r="R1207" s="73" t="str">
        <x:f>INDEX(TrackMap!$B$8:$B$141,H1207)</x:f>
        <x:v>发车大直道</x:v>
      </x:c>
    </x:row>
    <x:row r="1208" ht="20" customHeight="1">
      <x:c r="A1208" s="73" t="n">
        <x:v>200</x:v>
      </x:c>
      <x:c r="B1208" s="73" t="n">
        <x:v>1</x:v>
      </x:c>
      <x:c r="C1208" s="73" t="str">
        <x:f>INDEX(Drivers!$B$8:$B$13,B1208)</x:f>
        <x:v>赤焰</x:v>
      </x:c>
      <x:c r="D1208" s="83" t="n">
        <x:f>G1202</x:f>
        <x:v>670</x:v>
      </x:c>
      <x:c r="E1208" s="83" t="str">
        <x:f>IF(A1208=0,"GRID",IF(D1208&gt;=Control!$B$17,"FINISHED",IF(AND(A1208&gt;=INDEX(Drivers!$G$8:$G$13,B1208),A1208&lt;INDEX(Drivers!$G$8:$G$13,B1208)+INDEX(Drivers!$J$8:$J$13,B1208)),"PIT",IF(MOD(A1208+INDEX(Drivers!$F$8:$F$13,B1208),Control!$B$11)&lt;Control!$B$13,"BOOST","RACE"))))</x:f>
        <x:v>FINISHED</x:v>
      </x:c>
      <x:c r="F1208" s="83" t="n">
        <x:f>IF(OR(E1208="GRID",E1208="FINISHED",E1208="PIT"),0,MAX(Control!$B$15,(INDEX(Drivers!$D$8:$D$13,B1208)+INDEX(Drivers!$E$8:$E$13,B1208)*SIN((A1208+INDEX(Drivers!$F$8:$F$13,B1208)+Control!$B$16)*Control!$B$14))*INDEX(TrackMap!$M$8:$M$141,MOD(INT(D1208)-1,Control!$B$7)+1)*IF(E1208="BOOST",Control!$B$12,1)))</x:f>
        <x:v>0</x:v>
      </x:c>
      <x:c r="G1208" s="83" t="n">
        <x:f>IF(A1208=0,D1208,MIN(Control!$B$17,D1208+F1208))</x:f>
        <x:v>670</x:v>
      </x:c>
      <x:c r="H1208" s="73" t="n">
        <x:f>MOD(INT(G1208)-1,Control!$B$7)+1</x:f>
        <x:v>134</x:v>
      </x:c>
      <x:c r="I1208" s="73" t="n">
        <x:f>MIN(Control!$B$6,MAX(1,INT(MAX(0,G1208)/Control!$B$7)+1))</x:f>
        <x:v>5</x:v>
      </x:c>
      <x:c r="J1208" s="73" t="n">
        <x:f>INDEX(Drivers!$H$8:$H$13,B1208)</x:f>
        <x:v>1</x:v>
      </x:c>
      <x:c r="K1208" s="73" t="n">
        <x:f>IF(J1208=1,INDEX(TrackMap!$I$8:$I$141,H1208),INDEX(TrackMap!$L$8:$L$141,H1208))</x:f>
        <x:v>3117</x:v>
      </x:c>
      <x:c r="L1208" s="73" t="str">
        <x:f>INDEX(TrackMap!$F$8:$F$141,H1208)</x:f>
        <x:v>←</x:v>
      </x:c>
      <x:c r="M1208" s="87" t="n">
        <x:f>MAX(0,G1208/Control!$B$17)</x:f>
        <x:v>1</x:v>
      </x:c>
      <x:c r="N1208" s="73" t="n">
        <x:f>IF(N1202&gt;0,N1202,IF(G1208&gt;=Control!$B$17,A1208,0))</x:f>
        <x:v>194</x:v>
      </x:c>
      <x:c r="O1208" s="91" t="n">
        <x:f>IF(N1208&gt;0,Control!$B$17+Control!$B$8+1-N1208,G1208)-B1208/100000</x:f>
        <x:v>716.99999</x:v>
      </x:c>
      <x:c r="P1208" s="73" t="n">
        <x:f>COUNTIF($O$1208:$O$1213,"&gt;"&amp;O1208)+1</x:f>
        <x:v>1</x:v>
      </x:c>
      <x:c r="Q1208" s="83" t="n">
        <x:f>MAX($G$1208:$G$1213)-G1208</x:f>
        <x:v>0</x:v>
      </x:c>
      <x:c r="R1208" s="73" t="str">
        <x:f>INDEX(TrackMap!$B$8:$B$141,H1208)</x:f>
        <x:v>发车大直道</x:v>
      </x:c>
    </x:row>
    <x:row r="1209" ht="20" customHeight="1">
      <x:c r="A1209" s="73" t="n">
        <x:v>200</x:v>
      </x:c>
      <x:c r="B1209" s="73" t="n">
        <x:v>2</x:v>
      </x:c>
      <x:c r="C1209" s="73" t="str">
        <x:f>INDEX(Drivers!$B$8:$B$13,B1209)</x:f>
        <x:v>蓝电</x:v>
      </x:c>
      <x:c r="D1209" s="83" t="n">
        <x:f>G1203</x:f>
        <x:v>664.8804442242279</x:v>
      </x:c>
      <x:c r="E1209" s="83" t="str">
        <x:f>IF(A1209=0,"GRID",IF(D1209&gt;=Control!$B$17,"FINISHED",IF(AND(A1209&gt;=INDEX(Drivers!$G$8:$G$13,B1209),A1209&lt;INDEX(Drivers!$G$8:$G$13,B1209)+INDEX(Drivers!$J$8:$J$13,B1209)),"PIT",IF(MOD(A1209+INDEX(Drivers!$F$8:$F$13,B1209),Control!$B$11)&lt;Control!$B$13,"BOOST","RACE"))))</x:f>
        <x:v>RACE</x:v>
      </x:c>
      <x:c r="F1209" s="83" t="n">
        <x:f>IF(OR(E1209="GRID",E1209="FINISHED",E1209="PIT"),0,MAX(Control!$B$15,(INDEX(Drivers!$D$8:$D$13,B1209)+INDEX(Drivers!$E$8:$E$13,B1209)*SIN((A1209+INDEX(Drivers!$F$8:$F$13,B1209)+Control!$B$16)*Control!$B$14))*INDEX(TrackMap!$M$8:$M$141,MOD(INT(D1209)-1,Control!$B$7)+1)*IF(E1209="BOOST",Control!$B$12,1)))</x:f>
        <x:v>3.633085101810208</x:v>
      </x:c>
      <x:c r="G1209" s="83" t="n">
        <x:f>IF(A1209=0,D1209,MIN(Control!$B$17,D1209+F1209))</x:f>
        <x:v>668.5135293260381</x:v>
      </x:c>
      <x:c r="H1209" s="73" t="n">
        <x:f>MOD(INT(G1209)-1,Control!$B$7)+1</x:f>
        <x:v>132</x:v>
      </x:c>
      <x:c r="I1209" s="73" t="n">
        <x:f>MIN(Control!$B$6,MAX(1,INT(MAX(0,G1209)/Control!$B$7)+1))</x:f>
        <x:v>5</x:v>
      </x:c>
      <x:c r="J1209" s="73" t="n">
        <x:f>INDEX(Drivers!$H$8:$H$13,B1209)</x:f>
        <x:v>2</x:v>
      </x:c>
      <x:c r="K1209" s="73" t="n">
        <x:f>IF(J1209=1,INDEX(TrackMap!$I$8:$I$141,H1209),INDEX(TrackMap!$L$8:$L$141,H1209))</x:f>
        <x:v>3019</x:v>
      </x:c>
      <x:c r="L1209" s="73" t="str">
        <x:f>INDEX(TrackMap!$F$8:$F$141,H1209)</x:f>
        <x:v>←</x:v>
      </x:c>
      <x:c r="M1209" s="87" t="n">
        <x:f>MAX(0,G1209/Control!$B$17)</x:f>
        <x:v>0.9977813870537883</x:v>
      </x:c>
      <x:c r="N1209" s="73" t="n">
        <x:f>IF(N1203&gt;0,N1203,IF(G1209&gt;=Control!$B$17,A1209,0))</x:f>
        <x:v>0</x:v>
      </x:c>
      <x:c r="O1209" s="91" t="n">
        <x:f>IF(N1209&gt;0,Control!$B$17+Control!$B$8+1-N1209,G1209)-B1209/100000</x:f>
        <x:v>668.5135093260382</x:v>
      </x:c>
      <x:c r="P1209" s="73" t="n">
        <x:f>COUNTIF($O$1208:$O$1213,"&gt;"&amp;O1209)+1</x:f>
        <x:v>6</x:v>
      </x:c>
      <x:c r="Q1209" s="83" t="n">
        <x:f>MAX($G$1208:$G$1213)-G1209</x:f>
        <x:v>1.4864706739618896</x:v>
      </x:c>
      <x:c r="R1209" s="73" t="str">
        <x:f>INDEX(TrackMap!$B$8:$B$141,H1209)</x:f>
        <x:v>发车大直道</x:v>
      </x:c>
    </x:row>
    <x:row r="1210" ht="20" customHeight="1">
      <x:c r="A1210" s="73" t="n">
        <x:v>200</x:v>
      </x:c>
      <x:c r="B1210" s="73" t="n">
        <x:v>3</x:v>
      </x:c>
      <x:c r="C1210" s="73" t="str">
        <x:f>INDEX(Drivers!$B$8:$B$13,B1210)</x:f>
        <x:v>金翼</x:v>
      </x:c>
      <x:c r="D1210" s="83" t="n">
        <x:f>G1204</x:f>
        <x:v>670</x:v>
      </x:c>
      <x:c r="E1210" s="83" t="str">
        <x:f>IF(A1210=0,"GRID",IF(D1210&gt;=Control!$B$17,"FINISHED",IF(AND(A1210&gt;=INDEX(Drivers!$G$8:$G$13,B1210),A1210&lt;INDEX(Drivers!$G$8:$G$13,B1210)+INDEX(Drivers!$J$8:$J$13,B1210)),"PIT",IF(MOD(A1210+INDEX(Drivers!$F$8:$F$13,B1210),Control!$B$11)&lt;Control!$B$13,"BOOST","RACE"))))</x:f>
        <x:v>FINISHED</x:v>
      </x:c>
      <x:c r="F1210" s="83" t="n">
        <x:f>IF(OR(E1210="GRID",E1210="FINISHED",E1210="PIT"),0,MAX(Control!$B$15,(INDEX(Drivers!$D$8:$D$13,B1210)+INDEX(Drivers!$E$8:$E$13,B1210)*SIN((A1210+INDEX(Drivers!$F$8:$F$13,B1210)+Control!$B$16)*Control!$B$14))*INDEX(TrackMap!$M$8:$M$141,MOD(INT(D1210)-1,Control!$B$7)+1)*IF(E1210="BOOST",Control!$B$12,1)))</x:f>
        <x:v>0</x:v>
      </x:c>
      <x:c r="G1210" s="83" t="n">
        <x:f>IF(A1210=0,D1210,MIN(Control!$B$17,D1210+F1210))</x:f>
        <x:v>670</x:v>
      </x:c>
      <x:c r="H1210" s="73" t="n">
        <x:f>MOD(INT(G1210)-1,Control!$B$7)+1</x:f>
        <x:v>134</x:v>
      </x:c>
      <x:c r="I1210" s="73" t="n">
        <x:f>MIN(Control!$B$6,MAX(1,INT(MAX(0,G1210)/Control!$B$7)+1))</x:f>
        <x:v>5</x:v>
      </x:c>
      <x:c r="J1210" s="73" t="n">
        <x:f>INDEX(Drivers!$H$8:$H$13,B1210)</x:f>
        <x:v>1</x:v>
      </x:c>
      <x:c r="K1210" s="73" t="n">
        <x:f>IF(J1210=1,INDEX(TrackMap!$I$8:$I$141,H1210),INDEX(TrackMap!$L$8:$L$141,H1210))</x:f>
        <x:v>3117</x:v>
      </x:c>
      <x:c r="L1210" s="73" t="str">
        <x:f>INDEX(TrackMap!$F$8:$F$141,H1210)</x:f>
        <x:v>←</x:v>
      </x:c>
      <x:c r="M1210" s="87" t="n">
        <x:f>MAX(0,G1210/Control!$B$17)</x:f>
        <x:v>1</x:v>
      </x:c>
      <x:c r="N1210" s="73" t="n">
        <x:f>IF(N1204&gt;0,N1204,IF(G1210&gt;=Control!$B$17,A1210,0))</x:f>
        <x:v>195</x:v>
      </x:c>
      <x:c r="O1210" s="91" t="n">
        <x:f>IF(N1210&gt;0,Control!$B$17+Control!$B$8+1-N1210,G1210)-B1210/100000</x:f>
        <x:v>715.99997</x:v>
      </x:c>
      <x:c r="P1210" s="73" t="n">
        <x:f>COUNTIF($O$1208:$O$1213,"&gt;"&amp;O1210)+1</x:f>
        <x:v>2</x:v>
      </x:c>
      <x:c r="Q1210" s="83" t="n">
        <x:f>MAX($G$1208:$G$1213)-G1210</x:f>
        <x:v>0</x:v>
      </x:c>
      <x:c r="R1210" s="73" t="str">
        <x:f>INDEX(TrackMap!$B$8:$B$141,H1210)</x:f>
        <x:v>发车大直道</x:v>
      </x:c>
    </x:row>
    <x:row r="1211" ht="20" customHeight="1">
      <x:c r="A1211" s="73" t="n">
        <x:v>200</x:v>
      </x:c>
      <x:c r="B1211" s="73" t="n">
        <x:v>4</x:v>
      </x:c>
      <x:c r="C1211" s="73" t="str">
        <x:f>INDEX(Drivers!$B$8:$B$13,B1211)</x:f>
        <x:v>紫影</x:v>
      </x:c>
      <x:c r="D1211" s="83" t="n">
        <x:f>G1205</x:f>
        <x:v>670</x:v>
      </x:c>
      <x:c r="E1211" s="83" t="str">
        <x:f>IF(A1211=0,"GRID",IF(D1211&gt;=Control!$B$17,"FINISHED",IF(AND(A1211&gt;=INDEX(Drivers!$G$8:$G$13,B1211),A1211&lt;INDEX(Drivers!$G$8:$G$13,B1211)+INDEX(Drivers!$J$8:$J$13,B1211)),"PIT",IF(MOD(A1211+INDEX(Drivers!$F$8:$F$13,B1211),Control!$B$11)&lt;Control!$B$13,"BOOST","RACE"))))</x:f>
        <x:v>FINISHED</x:v>
      </x:c>
      <x:c r="F1211" s="83" t="n">
        <x:f>IF(OR(E1211="GRID",E1211="FINISHED",E1211="PIT"),0,MAX(Control!$B$15,(INDEX(Drivers!$D$8:$D$13,B1211)+INDEX(Drivers!$E$8:$E$13,B1211)*SIN((A1211+INDEX(Drivers!$F$8:$F$13,B1211)+Control!$B$16)*Control!$B$14))*INDEX(TrackMap!$M$8:$M$141,MOD(INT(D1211)-1,Control!$B$7)+1)*IF(E1211="BOOST",Control!$B$12,1)))</x:f>
        <x:v>0</x:v>
      </x:c>
      <x:c r="G1211" s="83" t="n">
        <x:f>IF(A1211=0,D1211,MIN(Control!$B$17,D1211+F1211))</x:f>
        <x:v>670</x:v>
      </x:c>
      <x:c r="H1211" s="73" t="n">
        <x:f>MOD(INT(G1211)-1,Control!$B$7)+1</x:f>
        <x:v>134</x:v>
      </x:c>
      <x:c r="I1211" s="73" t="n">
        <x:f>MIN(Control!$B$6,MAX(1,INT(MAX(0,G1211)/Control!$B$7)+1))</x:f>
        <x:v>5</x:v>
      </x:c>
      <x:c r="J1211" s="73" t="n">
        <x:f>INDEX(Drivers!$H$8:$H$13,B1211)</x:f>
        <x:v>2</x:v>
      </x:c>
      <x:c r="K1211" s="73" t="n">
        <x:f>IF(J1211=1,INDEX(TrackMap!$I$8:$I$141,H1211),INDEX(TrackMap!$L$8:$L$141,H1211))</x:f>
        <x:v>3017</x:v>
      </x:c>
      <x:c r="L1211" s="73" t="str">
        <x:f>INDEX(TrackMap!$F$8:$F$141,H1211)</x:f>
        <x:v>←</x:v>
      </x:c>
      <x:c r="M1211" s="87" t="n">
        <x:f>MAX(0,G1211/Control!$B$17)</x:f>
        <x:v>1</x:v>
      </x:c>
      <x:c r="N1211" s="73" t="n">
        <x:f>IF(N1205&gt;0,N1205,IF(G1211&gt;=Control!$B$17,A1211,0))</x:f>
        <x:v>198</x:v>
      </x:c>
      <x:c r="O1211" s="91" t="n">
        <x:f>IF(N1211&gt;0,Control!$B$17+Control!$B$8+1-N1211,G1211)-B1211/100000</x:f>
        <x:v>712.99996</x:v>
      </x:c>
      <x:c r="P1211" s="73" t="n">
        <x:f>COUNTIF($O$1208:$O$1213,"&gt;"&amp;O1211)+1</x:f>
        <x:v>5</x:v>
      </x:c>
      <x:c r="Q1211" s="83" t="n">
        <x:f>MAX($G$1208:$G$1213)-G1211</x:f>
        <x:v>0</x:v>
      </x:c>
      <x:c r="R1211" s="73" t="str">
        <x:f>INDEX(TrackMap!$B$8:$B$141,H1211)</x:f>
        <x:v>发车大直道</x:v>
      </x:c>
    </x:row>
    <x:row r="1212" ht="20" customHeight="1">
      <x:c r="A1212" s="73" t="n">
        <x:v>200</x:v>
      </x:c>
      <x:c r="B1212" s="73" t="n">
        <x:v>5</x:v>
      </x:c>
      <x:c r="C1212" s="73" t="str">
        <x:f>INDEX(Drivers!$B$8:$B$13,B1212)</x:f>
        <x:v>青锋</x:v>
      </x:c>
      <x:c r="D1212" s="83" t="n">
        <x:f>G1206</x:f>
        <x:v>670</x:v>
      </x:c>
      <x:c r="E1212" s="83" t="str">
        <x:f>IF(A1212=0,"GRID",IF(D1212&gt;=Control!$B$17,"FINISHED",IF(AND(A1212&gt;=INDEX(Drivers!$G$8:$G$13,B1212),A1212&lt;INDEX(Drivers!$G$8:$G$13,B1212)+INDEX(Drivers!$J$8:$J$13,B1212)),"PIT",IF(MOD(A1212+INDEX(Drivers!$F$8:$F$13,B1212),Control!$B$11)&lt;Control!$B$13,"BOOST","RACE"))))</x:f>
        <x:v>FINISHED</x:v>
      </x:c>
      <x:c r="F1212" s="83" t="n">
        <x:f>IF(OR(E1212="GRID",E1212="FINISHED",E1212="PIT"),0,MAX(Control!$B$15,(INDEX(Drivers!$D$8:$D$13,B1212)+INDEX(Drivers!$E$8:$E$13,B1212)*SIN((A1212+INDEX(Drivers!$F$8:$F$13,B1212)+Control!$B$16)*Control!$B$14))*INDEX(TrackMap!$M$8:$M$141,MOD(INT(D1212)-1,Control!$B$7)+1)*IF(E1212="BOOST",Control!$B$12,1)))</x:f>
        <x:v>0</x:v>
      </x:c>
      <x:c r="G1212" s="83" t="n">
        <x:f>IF(A1212=0,D1212,MIN(Control!$B$17,D1212+F1212))</x:f>
        <x:v>670</x:v>
      </x:c>
      <x:c r="H1212" s="73" t="n">
        <x:f>MOD(INT(G1212)-1,Control!$B$7)+1</x:f>
        <x:v>134</x:v>
      </x:c>
      <x:c r="I1212" s="73" t="n">
        <x:f>MIN(Control!$B$6,MAX(1,INT(MAX(0,G1212)/Control!$B$7)+1))</x:f>
        <x:v>5</x:v>
      </x:c>
      <x:c r="J1212" s="73" t="n">
        <x:f>INDEX(Drivers!$H$8:$H$13,B1212)</x:f>
        <x:v>1</x:v>
      </x:c>
      <x:c r="K1212" s="73" t="n">
        <x:f>IF(J1212=1,INDEX(TrackMap!$I$8:$I$141,H1212),INDEX(TrackMap!$L$8:$L$141,H1212))</x:f>
        <x:v>3117</x:v>
      </x:c>
      <x:c r="L1212" s="73" t="str">
        <x:f>INDEX(TrackMap!$F$8:$F$141,H1212)</x:f>
        <x:v>←</x:v>
      </x:c>
      <x:c r="M1212" s="87" t="n">
        <x:f>MAX(0,G1212/Control!$B$17)</x:f>
        <x:v>1</x:v>
      </x:c>
      <x:c r="N1212" s="73" t="n">
        <x:f>IF(N1206&gt;0,N1206,IF(G1212&gt;=Control!$B$17,A1212,0))</x:f>
        <x:v>195</x:v>
      </x:c>
      <x:c r="O1212" s="91" t="n">
        <x:f>IF(N1212&gt;0,Control!$B$17+Control!$B$8+1-N1212,G1212)-B1212/100000</x:f>
        <x:v>715.99995</x:v>
      </x:c>
      <x:c r="P1212" s="73" t="n">
        <x:f>COUNTIF($O$1208:$O$1213,"&gt;"&amp;O1212)+1</x:f>
        <x:v>3</x:v>
      </x:c>
      <x:c r="Q1212" s="83" t="n">
        <x:f>MAX($G$1208:$G$1213)-G1212</x:f>
        <x:v>0</x:v>
      </x:c>
      <x:c r="R1212" s="73" t="str">
        <x:f>INDEX(TrackMap!$B$8:$B$141,H1212)</x:f>
        <x:v>发车大直道</x:v>
      </x:c>
    </x:row>
    <x:row r="1213" ht="20" customHeight="1">
      <x:c r="A1213" s="73" t="n">
        <x:v>200</x:v>
      </x:c>
      <x:c r="B1213" s="73" t="n">
        <x:v>6</x:v>
      </x:c>
      <x:c r="C1213" s="73" t="str">
        <x:f>INDEX(Drivers!$B$8:$B$13,B1213)</x:f>
        <x:v>玫速</x:v>
      </x:c>
      <x:c r="D1213" s="83" t="n">
        <x:f>G1207</x:f>
        <x:v>670</x:v>
      </x:c>
      <x:c r="E1213" s="83" t="str">
        <x:f>IF(A1213=0,"GRID",IF(D1213&gt;=Control!$B$17,"FINISHED",IF(AND(A1213&gt;=INDEX(Drivers!$G$8:$G$13,B1213),A1213&lt;INDEX(Drivers!$G$8:$G$13,B1213)+INDEX(Drivers!$J$8:$J$13,B1213)),"PIT",IF(MOD(A1213+INDEX(Drivers!$F$8:$F$13,B1213),Control!$B$11)&lt;Control!$B$13,"BOOST","RACE"))))</x:f>
        <x:v>FINISHED</x:v>
      </x:c>
      <x:c r="F1213" s="83" t="n">
        <x:f>IF(OR(E1213="GRID",E1213="FINISHED",E1213="PIT"),0,MAX(Control!$B$15,(INDEX(Drivers!$D$8:$D$13,B1213)+INDEX(Drivers!$E$8:$E$13,B1213)*SIN((A1213+INDEX(Drivers!$F$8:$F$13,B1213)+Control!$B$16)*Control!$B$14))*INDEX(TrackMap!$M$8:$M$141,MOD(INT(D1213)-1,Control!$B$7)+1)*IF(E1213="BOOST",Control!$B$12,1)))</x:f>
        <x:v>0</x:v>
      </x:c>
      <x:c r="G1213" s="83" t="n">
        <x:f>IF(A1213=0,D1213,MIN(Control!$B$17,D1213+F1213))</x:f>
        <x:v>670</x:v>
      </x:c>
      <x:c r="H1213" s="73" t="n">
        <x:f>MOD(INT(G1213)-1,Control!$B$7)+1</x:f>
        <x:v>134</x:v>
      </x:c>
      <x:c r="I1213" s="73" t="n">
        <x:f>MIN(Control!$B$6,MAX(1,INT(MAX(0,G1213)/Control!$B$7)+1))</x:f>
        <x:v>5</x:v>
      </x:c>
      <x:c r="J1213" s="73" t="n">
        <x:f>INDEX(Drivers!$H$8:$H$13,B1213)</x:f>
        <x:v>2</x:v>
      </x:c>
      <x:c r="K1213" s="73" t="n">
        <x:f>IF(J1213=1,INDEX(TrackMap!$I$8:$I$141,H1213),INDEX(TrackMap!$L$8:$L$141,H1213))</x:f>
        <x:v>3017</x:v>
      </x:c>
      <x:c r="L1213" s="73" t="str">
        <x:f>INDEX(TrackMap!$F$8:$F$141,H1213)</x:f>
        <x:v>←</x:v>
      </x:c>
      <x:c r="M1213" s="87" t="n">
        <x:f>MAX(0,G1213/Control!$B$17)</x:f>
        <x:v>1</x:v>
      </x:c>
      <x:c r="N1213" s="73" t="n">
        <x:f>IF(N1207&gt;0,N1207,IF(G1213&gt;=Control!$B$17,A1213,0))</x:f>
        <x:v>196</x:v>
      </x:c>
      <x:c r="O1213" s="91" t="n">
        <x:f>IF(N1213&gt;0,Control!$B$17+Control!$B$8+1-N1213,G1213)-B1213/100000</x:f>
        <x:v>714.99994</x:v>
      </x:c>
      <x:c r="P1213" s="73" t="n">
        <x:f>COUNTIF($O$1208:$O$1213,"&gt;"&amp;O1213)+1</x:f>
        <x:v>4</x:v>
      </x:c>
      <x:c r="Q1213" s="83" t="n">
        <x:f>MAX($G$1208:$G$1213)-G1213</x:f>
        <x:v>0</x:v>
      </x:c>
      <x:c r="R1213" s="73" t="str">
        <x:f>INDEX(TrackMap!$B$8:$B$141,H1213)</x:f>
        <x:v>发车大直道</x:v>
      </x:c>
    </x:row>
    <x:row r="1214" ht="20" customHeight="1">
      <x:c r="A1214" s="73" t="n">
        <x:v>201</x:v>
      </x:c>
      <x:c r="B1214" s="73" t="n">
        <x:v>1</x:v>
      </x:c>
      <x:c r="C1214" s="73" t="str">
        <x:f>INDEX(Drivers!$B$8:$B$13,B1214)</x:f>
        <x:v>赤焰</x:v>
      </x:c>
      <x:c r="D1214" s="83" t="n">
        <x:f>G1208</x:f>
        <x:v>670</x:v>
      </x:c>
      <x:c r="E1214" s="83" t="str">
        <x:f>IF(A1214=0,"GRID",IF(D1214&gt;=Control!$B$17,"FINISHED",IF(AND(A1214&gt;=INDEX(Drivers!$G$8:$G$13,B1214),A1214&lt;INDEX(Drivers!$G$8:$G$13,B1214)+INDEX(Drivers!$J$8:$J$13,B1214)),"PIT",IF(MOD(A1214+INDEX(Drivers!$F$8:$F$13,B1214),Control!$B$11)&lt;Control!$B$13,"BOOST","RACE"))))</x:f>
        <x:v>FINISHED</x:v>
      </x:c>
      <x:c r="F1214" s="83" t="n">
        <x:f>IF(OR(E1214="GRID",E1214="FINISHED",E1214="PIT"),0,MAX(Control!$B$15,(INDEX(Drivers!$D$8:$D$13,B1214)+INDEX(Drivers!$E$8:$E$13,B1214)*SIN((A1214+INDEX(Drivers!$F$8:$F$13,B1214)+Control!$B$16)*Control!$B$14))*INDEX(TrackMap!$M$8:$M$141,MOD(INT(D1214)-1,Control!$B$7)+1)*IF(E1214="BOOST",Control!$B$12,1)))</x:f>
        <x:v>0</x:v>
      </x:c>
      <x:c r="G1214" s="83" t="n">
        <x:f>IF(A1214=0,D1214,MIN(Control!$B$17,D1214+F1214))</x:f>
        <x:v>670</x:v>
      </x:c>
      <x:c r="H1214" s="73" t="n">
        <x:f>MOD(INT(G1214)-1,Control!$B$7)+1</x:f>
        <x:v>134</x:v>
      </x:c>
      <x:c r="I1214" s="73" t="n">
        <x:f>MIN(Control!$B$6,MAX(1,INT(MAX(0,G1214)/Control!$B$7)+1))</x:f>
        <x:v>5</x:v>
      </x:c>
      <x:c r="J1214" s="73" t="n">
        <x:f>INDEX(Drivers!$H$8:$H$13,B1214)</x:f>
        <x:v>1</x:v>
      </x:c>
      <x:c r="K1214" s="73" t="n">
        <x:f>IF(J1214=1,INDEX(TrackMap!$I$8:$I$141,H1214),INDEX(TrackMap!$L$8:$L$141,H1214))</x:f>
        <x:v>3117</x:v>
      </x:c>
      <x:c r="L1214" s="73" t="str">
        <x:f>INDEX(TrackMap!$F$8:$F$141,H1214)</x:f>
        <x:v>←</x:v>
      </x:c>
      <x:c r="M1214" s="87" t="n">
        <x:f>MAX(0,G1214/Control!$B$17)</x:f>
        <x:v>1</x:v>
      </x:c>
      <x:c r="N1214" s="73" t="n">
        <x:f>IF(N1208&gt;0,N1208,IF(G1214&gt;=Control!$B$17,A1214,0))</x:f>
        <x:v>194</x:v>
      </x:c>
      <x:c r="O1214" s="91" t="n">
        <x:f>IF(N1214&gt;0,Control!$B$17+Control!$B$8+1-N1214,G1214)-B1214/100000</x:f>
        <x:v>716.99999</x:v>
      </x:c>
      <x:c r="P1214" s="73" t="n">
        <x:f>COUNTIF($O$1214:$O$1219,"&gt;"&amp;O1214)+1</x:f>
        <x:v>1</x:v>
      </x:c>
      <x:c r="Q1214" s="83" t="n">
        <x:f>MAX($G$1214:$G$1219)-G1214</x:f>
        <x:v>0</x:v>
      </x:c>
      <x:c r="R1214" s="73" t="str">
        <x:f>INDEX(TrackMap!$B$8:$B$141,H1214)</x:f>
        <x:v>发车大直道</x:v>
      </x:c>
    </x:row>
    <x:row r="1215" ht="20" customHeight="1">
      <x:c r="A1215" s="73" t="n">
        <x:v>201</x:v>
      </x:c>
      <x:c r="B1215" s="73" t="n">
        <x:v>2</x:v>
      </x:c>
      <x:c r="C1215" s="73" t="str">
        <x:f>INDEX(Drivers!$B$8:$B$13,B1215)</x:f>
        <x:v>蓝电</x:v>
      </x:c>
      <x:c r="D1215" s="83" t="n">
        <x:f>G1209</x:f>
        <x:v>668.5135293260381</x:v>
      </x:c>
      <x:c r="E1215" s="83" t="str">
        <x:f>IF(A1215=0,"GRID",IF(D1215&gt;=Control!$B$17,"FINISHED",IF(AND(A1215&gt;=INDEX(Drivers!$G$8:$G$13,B1215),A1215&lt;INDEX(Drivers!$G$8:$G$13,B1215)+INDEX(Drivers!$J$8:$J$13,B1215)),"PIT",IF(MOD(A1215+INDEX(Drivers!$F$8:$F$13,B1215),Control!$B$11)&lt;Control!$B$13,"BOOST","RACE"))))</x:f>
        <x:v>RACE</x:v>
      </x:c>
      <x:c r="F1215" s="83" t="n">
        <x:f>IF(OR(E1215="GRID",E1215="FINISHED",E1215="PIT"),0,MAX(Control!$B$15,(INDEX(Drivers!$D$8:$D$13,B1215)+INDEX(Drivers!$E$8:$E$13,B1215)*SIN((A1215+INDEX(Drivers!$F$8:$F$13,B1215)+Control!$B$16)*Control!$B$14))*INDEX(TrackMap!$M$8:$M$141,MOD(INT(D1215)-1,Control!$B$7)+1)*IF(E1215="BOOST",Control!$B$12,1)))</x:f>
        <x:v>3.845611080826089</x:v>
      </x:c>
      <x:c r="G1215" s="83" t="n">
        <x:f>IF(A1215=0,D1215,MIN(Control!$B$17,D1215+F1215))</x:f>
        <x:v>670</x:v>
      </x:c>
      <x:c r="H1215" s="73" t="n">
        <x:f>MOD(INT(G1215)-1,Control!$B$7)+1</x:f>
        <x:v>134</x:v>
      </x:c>
      <x:c r="I1215" s="73" t="n">
        <x:f>MIN(Control!$B$6,MAX(1,INT(MAX(0,G1215)/Control!$B$7)+1))</x:f>
        <x:v>5</x:v>
      </x:c>
      <x:c r="J1215" s="73" t="n">
        <x:f>INDEX(Drivers!$H$8:$H$13,B1215)</x:f>
        <x:v>2</x:v>
      </x:c>
      <x:c r="K1215" s="73" t="n">
        <x:f>IF(J1215=1,INDEX(TrackMap!$I$8:$I$141,H1215),INDEX(TrackMap!$L$8:$L$141,H1215))</x:f>
        <x:v>3017</x:v>
      </x:c>
      <x:c r="L1215" s="73" t="str">
        <x:f>INDEX(TrackMap!$F$8:$F$141,H1215)</x:f>
        <x:v>←</x:v>
      </x:c>
      <x:c r="M1215" s="87" t="n">
        <x:f>MAX(0,G1215/Control!$B$17)</x:f>
        <x:v>1</x:v>
      </x:c>
      <x:c r="N1215" s="73" t="n">
        <x:f>IF(N1209&gt;0,N1209,IF(G1215&gt;=Control!$B$17,A1215,0))</x:f>
        <x:v>201</x:v>
      </x:c>
      <x:c r="O1215" s="91" t="n">
        <x:f>IF(N1215&gt;0,Control!$B$17+Control!$B$8+1-N1215,G1215)-B1215/100000</x:f>
        <x:v>709.99998</x:v>
      </x:c>
      <x:c r="P1215" s="73" t="n">
        <x:f>COUNTIF($O$1214:$O$1219,"&gt;"&amp;O1215)+1</x:f>
        <x:v>6</x:v>
      </x:c>
      <x:c r="Q1215" s="83" t="n">
        <x:f>MAX($G$1214:$G$1219)-G1215</x:f>
        <x:v>0</x:v>
      </x:c>
      <x:c r="R1215" s="73" t="str">
        <x:f>INDEX(TrackMap!$B$8:$B$141,H1215)</x:f>
        <x:v>发车大直道</x:v>
      </x:c>
    </x:row>
    <x:row r="1216" ht="20" customHeight="1">
      <x:c r="A1216" s="73" t="n">
        <x:v>201</x:v>
      </x:c>
      <x:c r="B1216" s="73" t="n">
        <x:v>3</x:v>
      </x:c>
      <x:c r="C1216" s="73" t="str">
        <x:f>INDEX(Drivers!$B$8:$B$13,B1216)</x:f>
        <x:v>金翼</x:v>
      </x:c>
      <x:c r="D1216" s="83" t="n">
        <x:f>G1210</x:f>
        <x:v>670</x:v>
      </x:c>
      <x:c r="E1216" s="83" t="str">
        <x:f>IF(A1216=0,"GRID",IF(D1216&gt;=Control!$B$17,"FINISHED",IF(AND(A1216&gt;=INDEX(Drivers!$G$8:$G$13,B1216),A1216&lt;INDEX(Drivers!$G$8:$G$13,B1216)+INDEX(Drivers!$J$8:$J$13,B1216)),"PIT",IF(MOD(A1216+INDEX(Drivers!$F$8:$F$13,B1216),Control!$B$11)&lt;Control!$B$13,"BOOST","RACE"))))</x:f>
        <x:v>FINISHED</x:v>
      </x:c>
      <x:c r="F1216" s="83" t="n">
        <x:f>IF(OR(E1216="GRID",E1216="FINISHED",E1216="PIT"),0,MAX(Control!$B$15,(INDEX(Drivers!$D$8:$D$13,B1216)+INDEX(Drivers!$E$8:$E$13,B1216)*SIN((A1216+INDEX(Drivers!$F$8:$F$13,B1216)+Control!$B$16)*Control!$B$14))*INDEX(TrackMap!$M$8:$M$141,MOD(INT(D1216)-1,Control!$B$7)+1)*IF(E1216="BOOST",Control!$B$12,1)))</x:f>
        <x:v>0</x:v>
      </x:c>
      <x:c r="G1216" s="83" t="n">
        <x:f>IF(A1216=0,D1216,MIN(Control!$B$17,D1216+F1216))</x:f>
        <x:v>670</x:v>
      </x:c>
      <x:c r="H1216" s="73" t="n">
        <x:f>MOD(INT(G1216)-1,Control!$B$7)+1</x:f>
        <x:v>134</x:v>
      </x:c>
      <x:c r="I1216" s="73" t="n">
        <x:f>MIN(Control!$B$6,MAX(1,INT(MAX(0,G1216)/Control!$B$7)+1))</x:f>
        <x:v>5</x:v>
      </x:c>
      <x:c r="J1216" s="73" t="n">
        <x:f>INDEX(Drivers!$H$8:$H$13,B1216)</x:f>
        <x:v>1</x:v>
      </x:c>
      <x:c r="K1216" s="73" t="n">
        <x:f>IF(J1216=1,INDEX(TrackMap!$I$8:$I$141,H1216),INDEX(TrackMap!$L$8:$L$141,H1216))</x:f>
        <x:v>3117</x:v>
      </x:c>
      <x:c r="L1216" s="73" t="str">
        <x:f>INDEX(TrackMap!$F$8:$F$141,H1216)</x:f>
        <x:v>←</x:v>
      </x:c>
      <x:c r="M1216" s="87" t="n">
        <x:f>MAX(0,G1216/Control!$B$17)</x:f>
        <x:v>1</x:v>
      </x:c>
      <x:c r="N1216" s="73" t="n">
        <x:f>IF(N1210&gt;0,N1210,IF(G1216&gt;=Control!$B$17,A1216,0))</x:f>
        <x:v>195</x:v>
      </x:c>
      <x:c r="O1216" s="91" t="n">
        <x:f>IF(N1216&gt;0,Control!$B$17+Control!$B$8+1-N1216,G1216)-B1216/100000</x:f>
        <x:v>715.99997</x:v>
      </x:c>
      <x:c r="P1216" s="73" t="n">
        <x:f>COUNTIF($O$1214:$O$1219,"&gt;"&amp;O1216)+1</x:f>
        <x:v>2</x:v>
      </x:c>
      <x:c r="Q1216" s="83" t="n">
        <x:f>MAX($G$1214:$G$1219)-G1216</x:f>
        <x:v>0</x:v>
      </x:c>
      <x:c r="R1216" s="73" t="str">
        <x:f>INDEX(TrackMap!$B$8:$B$141,H1216)</x:f>
        <x:v>发车大直道</x:v>
      </x:c>
    </x:row>
    <x:row r="1217" ht="20" customHeight="1">
      <x:c r="A1217" s="73" t="n">
        <x:v>201</x:v>
      </x:c>
      <x:c r="B1217" s="73" t="n">
        <x:v>4</x:v>
      </x:c>
      <x:c r="C1217" s="73" t="str">
        <x:f>INDEX(Drivers!$B$8:$B$13,B1217)</x:f>
        <x:v>紫影</x:v>
      </x:c>
      <x:c r="D1217" s="83" t="n">
        <x:f>G1211</x:f>
        <x:v>670</x:v>
      </x:c>
      <x:c r="E1217" s="83" t="str">
        <x:f>IF(A1217=0,"GRID",IF(D1217&gt;=Control!$B$17,"FINISHED",IF(AND(A1217&gt;=INDEX(Drivers!$G$8:$G$13,B1217),A1217&lt;INDEX(Drivers!$G$8:$G$13,B1217)+INDEX(Drivers!$J$8:$J$13,B1217)),"PIT",IF(MOD(A1217+INDEX(Drivers!$F$8:$F$13,B1217),Control!$B$11)&lt;Control!$B$13,"BOOST","RACE"))))</x:f>
        <x:v>FINISHED</x:v>
      </x:c>
      <x:c r="F1217" s="83" t="n">
        <x:f>IF(OR(E1217="GRID",E1217="FINISHED",E1217="PIT"),0,MAX(Control!$B$15,(INDEX(Drivers!$D$8:$D$13,B1217)+INDEX(Drivers!$E$8:$E$13,B1217)*SIN((A1217+INDEX(Drivers!$F$8:$F$13,B1217)+Control!$B$16)*Control!$B$14))*INDEX(TrackMap!$M$8:$M$141,MOD(INT(D1217)-1,Control!$B$7)+1)*IF(E1217="BOOST",Control!$B$12,1)))</x:f>
        <x:v>0</x:v>
      </x:c>
      <x:c r="G1217" s="83" t="n">
        <x:f>IF(A1217=0,D1217,MIN(Control!$B$17,D1217+F1217))</x:f>
        <x:v>670</x:v>
      </x:c>
      <x:c r="H1217" s="73" t="n">
        <x:f>MOD(INT(G1217)-1,Control!$B$7)+1</x:f>
        <x:v>134</x:v>
      </x:c>
      <x:c r="I1217" s="73" t="n">
        <x:f>MIN(Control!$B$6,MAX(1,INT(MAX(0,G1217)/Control!$B$7)+1))</x:f>
        <x:v>5</x:v>
      </x:c>
      <x:c r="J1217" s="73" t="n">
        <x:f>INDEX(Drivers!$H$8:$H$13,B1217)</x:f>
        <x:v>2</x:v>
      </x:c>
      <x:c r="K1217" s="73" t="n">
        <x:f>IF(J1217=1,INDEX(TrackMap!$I$8:$I$141,H1217),INDEX(TrackMap!$L$8:$L$141,H1217))</x:f>
        <x:v>3017</x:v>
      </x:c>
      <x:c r="L1217" s="73" t="str">
        <x:f>INDEX(TrackMap!$F$8:$F$141,H1217)</x:f>
        <x:v>←</x:v>
      </x:c>
      <x:c r="M1217" s="87" t="n">
        <x:f>MAX(0,G1217/Control!$B$17)</x:f>
        <x:v>1</x:v>
      </x:c>
      <x:c r="N1217" s="73" t="n">
        <x:f>IF(N1211&gt;0,N1211,IF(G1217&gt;=Control!$B$17,A1217,0))</x:f>
        <x:v>198</x:v>
      </x:c>
      <x:c r="O1217" s="91" t="n">
        <x:f>IF(N1217&gt;0,Control!$B$17+Control!$B$8+1-N1217,G1217)-B1217/100000</x:f>
        <x:v>712.99996</x:v>
      </x:c>
      <x:c r="P1217" s="73" t="n">
        <x:f>COUNTIF($O$1214:$O$1219,"&gt;"&amp;O1217)+1</x:f>
        <x:v>5</x:v>
      </x:c>
      <x:c r="Q1217" s="83" t="n">
        <x:f>MAX($G$1214:$G$1219)-G1217</x:f>
        <x:v>0</x:v>
      </x:c>
      <x:c r="R1217" s="73" t="str">
        <x:f>INDEX(TrackMap!$B$8:$B$141,H1217)</x:f>
        <x:v>发车大直道</x:v>
      </x:c>
    </x:row>
    <x:row r="1218" ht="20" customHeight="1">
      <x:c r="A1218" s="73" t="n">
        <x:v>201</x:v>
      </x:c>
      <x:c r="B1218" s="73" t="n">
        <x:v>5</x:v>
      </x:c>
      <x:c r="C1218" s="73" t="str">
        <x:f>INDEX(Drivers!$B$8:$B$13,B1218)</x:f>
        <x:v>青锋</x:v>
      </x:c>
      <x:c r="D1218" s="83" t="n">
        <x:f>G1212</x:f>
        <x:v>670</x:v>
      </x:c>
      <x:c r="E1218" s="83" t="str">
        <x:f>IF(A1218=0,"GRID",IF(D1218&gt;=Control!$B$17,"FINISHED",IF(AND(A1218&gt;=INDEX(Drivers!$G$8:$G$13,B1218),A1218&lt;INDEX(Drivers!$G$8:$G$13,B1218)+INDEX(Drivers!$J$8:$J$13,B1218)),"PIT",IF(MOD(A1218+INDEX(Drivers!$F$8:$F$13,B1218),Control!$B$11)&lt;Control!$B$13,"BOOST","RACE"))))</x:f>
        <x:v>FINISHED</x:v>
      </x:c>
      <x:c r="F1218" s="83" t="n">
        <x:f>IF(OR(E1218="GRID",E1218="FINISHED",E1218="PIT"),0,MAX(Control!$B$15,(INDEX(Drivers!$D$8:$D$13,B1218)+INDEX(Drivers!$E$8:$E$13,B1218)*SIN((A1218+INDEX(Drivers!$F$8:$F$13,B1218)+Control!$B$16)*Control!$B$14))*INDEX(TrackMap!$M$8:$M$141,MOD(INT(D1218)-1,Control!$B$7)+1)*IF(E1218="BOOST",Control!$B$12,1)))</x:f>
        <x:v>0</x:v>
      </x:c>
      <x:c r="G1218" s="83" t="n">
        <x:f>IF(A1218=0,D1218,MIN(Control!$B$17,D1218+F1218))</x:f>
        <x:v>670</x:v>
      </x:c>
      <x:c r="H1218" s="73" t="n">
        <x:f>MOD(INT(G1218)-1,Control!$B$7)+1</x:f>
        <x:v>134</x:v>
      </x:c>
      <x:c r="I1218" s="73" t="n">
        <x:f>MIN(Control!$B$6,MAX(1,INT(MAX(0,G1218)/Control!$B$7)+1))</x:f>
        <x:v>5</x:v>
      </x:c>
      <x:c r="J1218" s="73" t="n">
        <x:f>INDEX(Drivers!$H$8:$H$13,B1218)</x:f>
        <x:v>1</x:v>
      </x:c>
      <x:c r="K1218" s="73" t="n">
        <x:f>IF(J1218=1,INDEX(TrackMap!$I$8:$I$141,H1218),INDEX(TrackMap!$L$8:$L$141,H1218))</x:f>
        <x:v>3117</x:v>
      </x:c>
      <x:c r="L1218" s="73" t="str">
        <x:f>INDEX(TrackMap!$F$8:$F$141,H1218)</x:f>
        <x:v>←</x:v>
      </x:c>
      <x:c r="M1218" s="87" t="n">
        <x:f>MAX(0,G1218/Control!$B$17)</x:f>
        <x:v>1</x:v>
      </x:c>
      <x:c r="N1218" s="73" t="n">
        <x:f>IF(N1212&gt;0,N1212,IF(G1218&gt;=Control!$B$17,A1218,0))</x:f>
        <x:v>195</x:v>
      </x:c>
      <x:c r="O1218" s="91" t="n">
        <x:f>IF(N1218&gt;0,Control!$B$17+Control!$B$8+1-N1218,G1218)-B1218/100000</x:f>
        <x:v>715.99995</x:v>
      </x:c>
      <x:c r="P1218" s="73" t="n">
        <x:f>COUNTIF($O$1214:$O$1219,"&gt;"&amp;O1218)+1</x:f>
        <x:v>3</x:v>
      </x:c>
      <x:c r="Q1218" s="83" t="n">
        <x:f>MAX($G$1214:$G$1219)-G1218</x:f>
        <x:v>0</x:v>
      </x:c>
      <x:c r="R1218" s="73" t="str">
        <x:f>INDEX(TrackMap!$B$8:$B$141,H1218)</x:f>
        <x:v>发车大直道</x:v>
      </x:c>
    </x:row>
    <x:row r="1219" ht="20" customHeight="1">
      <x:c r="A1219" s="73" t="n">
        <x:v>201</x:v>
      </x:c>
      <x:c r="B1219" s="73" t="n">
        <x:v>6</x:v>
      </x:c>
      <x:c r="C1219" s="73" t="str">
        <x:f>INDEX(Drivers!$B$8:$B$13,B1219)</x:f>
        <x:v>玫速</x:v>
      </x:c>
      <x:c r="D1219" s="83" t="n">
        <x:f>G1213</x:f>
        <x:v>670</x:v>
      </x:c>
      <x:c r="E1219" s="83" t="str">
        <x:f>IF(A1219=0,"GRID",IF(D1219&gt;=Control!$B$17,"FINISHED",IF(AND(A1219&gt;=INDEX(Drivers!$G$8:$G$13,B1219),A1219&lt;INDEX(Drivers!$G$8:$G$13,B1219)+INDEX(Drivers!$J$8:$J$13,B1219)),"PIT",IF(MOD(A1219+INDEX(Drivers!$F$8:$F$13,B1219),Control!$B$11)&lt;Control!$B$13,"BOOST","RACE"))))</x:f>
        <x:v>FINISHED</x:v>
      </x:c>
      <x:c r="F1219" s="83" t="n">
        <x:f>IF(OR(E1219="GRID",E1219="FINISHED",E1219="PIT"),0,MAX(Control!$B$15,(INDEX(Drivers!$D$8:$D$13,B1219)+INDEX(Drivers!$E$8:$E$13,B1219)*SIN((A1219+INDEX(Drivers!$F$8:$F$13,B1219)+Control!$B$16)*Control!$B$14))*INDEX(TrackMap!$M$8:$M$141,MOD(INT(D1219)-1,Control!$B$7)+1)*IF(E1219="BOOST",Control!$B$12,1)))</x:f>
        <x:v>0</x:v>
      </x:c>
      <x:c r="G1219" s="83" t="n">
        <x:f>IF(A1219=0,D1219,MIN(Control!$B$17,D1219+F1219))</x:f>
        <x:v>670</x:v>
      </x:c>
      <x:c r="H1219" s="73" t="n">
        <x:f>MOD(INT(G1219)-1,Control!$B$7)+1</x:f>
        <x:v>134</x:v>
      </x:c>
      <x:c r="I1219" s="73" t="n">
        <x:f>MIN(Control!$B$6,MAX(1,INT(MAX(0,G1219)/Control!$B$7)+1))</x:f>
        <x:v>5</x:v>
      </x:c>
      <x:c r="J1219" s="73" t="n">
        <x:f>INDEX(Drivers!$H$8:$H$13,B1219)</x:f>
        <x:v>2</x:v>
      </x:c>
      <x:c r="K1219" s="73" t="n">
        <x:f>IF(J1219=1,INDEX(TrackMap!$I$8:$I$141,H1219),INDEX(TrackMap!$L$8:$L$141,H1219))</x:f>
        <x:v>3017</x:v>
      </x:c>
      <x:c r="L1219" s="73" t="str">
        <x:f>INDEX(TrackMap!$F$8:$F$141,H1219)</x:f>
        <x:v>←</x:v>
      </x:c>
      <x:c r="M1219" s="87" t="n">
        <x:f>MAX(0,G1219/Control!$B$17)</x:f>
        <x:v>1</x:v>
      </x:c>
      <x:c r="N1219" s="73" t="n">
        <x:f>IF(N1213&gt;0,N1213,IF(G1219&gt;=Control!$B$17,A1219,0))</x:f>
        <x:v>196</x:v>
      </x:c>
      <x:c r="O1219" s="91" t="n">
        <x:f>IF(N1219&gt;0,Control!$B$17+Control!$B$8+1-N1219,G1219)-B1219/100000</x:f>
        <x:v>714.99994</x:v>
      </x:c>
      <x:c r="P1219" s="73" t="n">
        <x:f>COUNTIF($O$1214:$O$1219,"&gt;"&amp;O1219)+1</x:f>
        <x:v>4</x:v>
      </x:c>
      <x:c r="Q1219" s="83" t="n">
        <x:f>MAX($G$1214:$G$1219)-G1219</x:f>
        <x:v>0</x:v>
      </x:c>
      <x:c r="R1219" s="73" t="str">
        <x:f>INDEX(TrackMap!$B$8:$B$141,H1219)</x:f>
        <x:v>发车大直道</x:v>
      </x:c>
    </x:row>
    <x:row r="1220" ht="20" customHeight="1">
      <x:c r="A1220" s="73" t="n">
        <x:v>202</x:v>
      </x:c>
      <x:c r="B1220" s="73" t="n">
        <x:v>1</x:v>
      </x:c>
      <x:c r="C1220" s="73" t="str">
        <x:f>INDEX(Drivers!$B$8:$B$13,B1220)</x:f>
        <x:v>赤焰</x:v>
      </x:c>
      <x:c r="D1220" s="83" t="n">
        <x:f>G1214</x:f>
        <x:v>670</x:v>
      </x:c>
      <x:c r="E1220" s="83" t="str">
        <x:f>IF(A1220=0,"GRID",IF(D1220&gt;=Control!$B$17,"FINISHED",IF(AND(A1220&gt;=INDEX(Drivers!$G$8:$G$13,B1220),A1220&lt;INDEX(Drivers!$G$8:$G$13,B1220)+INDEX(Drivers!$J$8:$J$13,B1220)),"PIT",IF(MOD(A1220+INDEX(Drivers!$F$8:$F$13,B1220),Control!$B$11)&lt;Control!$B$13,"BOOST","RACE"))))</x:f>
        <x:v>FINISHED</x:v>
      </x:c>
      <x:c r="F1220" s="83" t="n">
        <x:f>IF(OR(E1220="GRID",E1220="FINISHED",E1220="PIT"),0,MAX(Control!$B$15,(INDEX(Drivers!$D$8:$D$13,B1220)+INDEX(Drivers!$E$8:$E$13,B1220)*SIN((A1220+INDEX(Drivers!$F$8:$F$13,B1220)+Control!$B$16)*Control!$B$14))*INDEX(TrackMap!$M$8:$M$141,MOD(INT(D1220)-1,Control!$B$7)+1)*IF(E1220="BOOST",Control!$B$12,1)))</x:f>
        <x:v>0</x:v>
      </x:c>
      <x:c r="G1220" s="83" t="n">
        <x:f>IF(A1220=0,D1220,MIN(Control!$B$17,D1220+F1220))</x:f>
        <x:v>670</x:v>
      </x:c>
      <x:c r="H1220" s="73" t="n">
        <x:f>MOD(INT(G1220)-1,Control!$B$7)+1</x:f>
        <x:v>134</x:v>
      </x:c>
      <x:c r="I1220" s="73" t="n">
        <x:f>MIN(Control!$B$6,MAX(1,INT(MAX(0,G1220)/Control!$B$7)+1))</x:f>
        <x:v>5</x:v>
      </x:c>
      <x:c r="J1220" s="73" t="n">
        <x:f>INDEX(Drivers!$H$8:$H$13,B1220)</x:f>
        <x:v>1</x:v>
      </x:c>
      <x:c r="K1220" s="73" t="n">
        <x:f>IF(J1220=1,INDEX(TrackMap!$I$8:$I$141,H1220),INDEX(TrackMap!$L$8:$L$141,H1220))</x:f>
        <x:v>3117</x:v>
      </x:c>
      <x:c r="L1220" s="73" t="str">
        <x:f>INDEX(TrackMap!$F$8:$F$141,H1220)</x:f>
        <x:v>←</x:v>
      </x:c>
      <x:c r="M1220" s="87" t="n">
        <x:f>MAX(0,G1220/Control!$B$17)</x:f>
        <x:v>1</x:v>
      </x:c>
      <x:c r="N1220" s="73" t="n">
        <x:f>IF(N1214&gt;0,N1214,IF(G1220&gt;=Control!$B$17,A1220,0))</x:f>
        <x:v>194</x:v>
      </x:c>
      <x:c r="O1220" s="91" t="n">
        <x:f>IF(N1220&gt;0,Control!$B$17+Control!$B$8+1-N1220,G1220)-B1220/100000</x:f>
        <x:v>716.99999</x:v>
      </x:c>
      <x:c r="P1220" s="73" t="n">
        <x:f>COUNTIF($O$1220:$O$1225,"&gt;"&amp;O1220)+1</x:f>
        <x:v>1</x:v>
      </x:c>
      <x:c r="Q1220" s="83" t="n">
        <x:f>MAX($G$1220:$G$1225)-G1220</x:f>
        <x:v>0</x:v>
      </x:c>
      <x:c r="R1220" s="73" t="str">
        <x:f>INDEX(TrackMap!$B$8:$B$141,H1220)</x:f>
        <x:v>发车大直道</x:v>
      </x:c>
    </x:row>
    <x:row r="1221" ht="20" customHeight="1">
      <x:c r="A1221" s="73" t="n">
        <x:v>202</x:v>
      </x:c>
      <x:c r="B1221" s="73" t="n">
        <x:v>2</x:v>
      </x:c>
      <x:c r="C1221" s="73" t="str">
        <x:f>INDEX(Drivers!$B$8:$B$13,B1221)</x:f>
        <x:v>蓝电</x:v>
      </x:c>
      <x:c r="D1221" s="83" t="n">
        <x:f>G1215</x:f>
        <x:v>670</x:v>
      </x:c>
      <x:c r="E1221" s="83" t="str">
        <x:f>IF(A1221=0,"GRID",IF(D1221&gt;=Control!$B$17,"FINISHED",IF(AND(A1221&gt;=INDEX(Drivers!$G$8:$G$13,B1221),A1221&lt;INDEX(Drivers!$G$8:$G$13,B1221)+INDEX(Drivers!$J$8:$J$13,B1221)),"PIT",IF(MOD(A1221+INDEX(Drivers!$F$8:$F$13,B1221),Control!$B$11)&lt;Control!$B$13,"BOOST","RACE"))))</x:f>
        <x:v>FINISHED</x:v>
      </x:c>
      <x:c r="F1221" s="83" t="n">
        <x:f>IF(OR(E1221="GRID",E1221="FINISHED",E1221="PIT"),0,MAX(Control!$B$15,(INDEX(Drivers!$D$8:$D$13,B1221)+INDEX(Drivers!$E$8:$E$13,B1221)*SIN((A1221+INDEX(Drivers!$F$8:$F$13,B1221)+Control!$B$16)*Control!$B$14))*INDEX(TrackMap!$M$8:$M$141,MOD(INT(D1221)-1,Control!$B$7)+1)*IF(E1221="BOOST",Control!$B$12,1)))</x:f>
        <x:v>0</x:v>
      </x:c>
      <x:c r="G1221" s="83" t="n">
        <x:f>IF(A1221=0,D1221,MIN(Control!$B$17,D1221+F1221))</x:f>
        <x:v>670</x:v>
      </x:c>
      <x:c r="H1221" s="73" t="n">
        <x:f>MOD(INT(G1221)-1,Control!$B$7)+1</x:f>
        <x:v>134</x:v>
      </x:c>
      <x:c r="I1221" s="73" t="n">
        <x:f>MIN(Control!$B$6,MAX(1,INT(MAX(0,G1221)/Control!$B$7)+1))</x:f>
        <x:v>5</x:v>
      </x:c>
      <x:c r="J1221" s="73" t="n">
        <x:f>INDEX(Drivers!$H$8:$H$13,B1221)</x:f>
        <x:v>2</x:v>
      </x:c>
      <x:c r="K1221" s="73" t="n">
        <x:f>IF(J1221=1,INDEX(TrackMap!$I$8:$I$141,H1221),INDEX(TrackMap!$L$8:$L$141,H1221))</x:f>
        <x:v>3017</x:v>
      </x:c>
      <x:c r="L1221" s="73" t="str">
        <x:f>INDEX(TrackMap!$F$8:$F$141,H1221)</x:f>
        <x:v>←</x:v>
      </x:c>
      <x:c r="M1221" s="87" t="n">
        <x:f>MAX(0,G1221/Control!$B$17)</x:f>
        <x:v>1</x:v>
      </x:c>
      <x:c r="N1221" s="73" t="n">
        <x:f>IF(N1215&gt;0,N1215,IF(G1221&gt;=Control!$B$17,A1221,0))</x:f>
        <x:v>201</x:v>
      </x:c>
      <x:c r="O1221" s="91" t="n">
        <x:f>IF(N1221&gt;0,Control!$B$17+Control!$B$8+1-N1221,G1221)-B1221/100000</x:f>
        <x:v>709.99998</x:v>
      </x:c>
      <x:c r="P1221" s="73" t="n">
        <x:f>COUNTIF($O$1220:$O$1225,"&gt;"&amp;O1221)+1</x:f>
        <x:v>6</x:v>
      </x:c>
      <x:c r="Q1221" s="83" t="n">
        <x:f>MAX($G$1220:$G$1225)-G1221</x:f>
        <x:v>0</x:v>
      </x:c>
      <x:c r="R1221" s="73" t="str">
        <x:f>INDEX(TrackMap!$B$8:$B$141,H1221)</x:f>
        <x:v>发车大直道</x:v>
      </x:c>
    </x:row>
    <x:row r="1222" ht="20" customHeight="1">
      <x:c r="A1222" s="73" t="n">
        <x:v>202</x:v>
      </x:c>
      <x:c r="B1222" s="73" t="n">
        <x:v>3</x:v>
      </x:c>
      <x:c r="C1222" s="73" t="str">
        <x:f>INDEX(Drivers!$B$8:$B$13,B1222)</x:f>
        <x:v>金翼</x:v>
      </x:c>
      <x:c r="D1222" s="83" t="n">
        <x:f>G1216</x:f>
        <x:v>670</x:v>
      </x:c>
      <x:c r="E1222" s="83" t="str">
        <x:f>IF(A1222=0,"GRID",IF(D1222&gt;=Control!$B$17,"FINISHED",IF(AND(A1222&gt;=INDEX(Drivers!$G$8:$G$13,B1222),A1222&lt;INDEX(Drivers!$G$8:$G$13,B1222)+INDEX(Drivers!$J$8:$J$13,B1222)),"PIT",IF(MOD(A1222+INDEX(Drivers!$F$8:$F$13,B1222),Control!$B$11)&lt;Control!$B$13,"BOOST","RACE"))))</x:f>
        <x:v>FINISHED</x:v>
      </x:c>
      <x:c r="F1222" s="83" t="n">
        <x:f>IF(OR(E1222="GRID",E1222="FINISHED",E1222="PIT"),0,MAX(Control!$B$15,(INDEX(Drivers!$D$8:$D$13,B1222)+INDEX(Drivers!$E$8:$E$13,B1222)*SIN((A1222+INDEX(Drivers!$F$8:$F$13,B1222)+Control!$B$16)*Control!$B$14))*INDEX(TrackMap!$M$8:$M$141,MOD(INT(D1222)-1,Control!$B$7)+1)*IF(E1222="BOOST",Control!$B$12,1)))</x:f>
        <x:v>0</x:v>
      </x:c>
      <x:c r="G1222" s="83" t="n">
        <x:f>IF(A1222=0,D1222,MIN(Control!$B$17,D1222+F1222))</x:f>
        <x:v>670</x:v>
      </x:c>
      <x:c r="H1222" s="73" t="n">
        <x:f>MOD(INT(G1222)-1,Control!$B$7)+1</x:f>
        <x:v>134</x:v>
      </x:c>
      <x:c r="I1222" s="73" t="n">
        <x:f>MIN(Control!$B$6,MAX(1,INT(MAX(0,G1222)/Control!$B$7)+1))</x:f>
        <x:v>5</x:v>
      </x:c>
      <x:c r="J1222" s="73" t="n">
        <x:f>INDEX(Drivers!$H$8:$H$13,B1222)</x:f>
        <x:v>1</x:v>
      </x:c>
      <x:c r="K1222" s="73" t="n">
        <x:f>IF(J1222=1,INDEX(TrackMap!$I$8:$I$141,H1222),INDEX(TrackMap!$L$8:$L$141,H1222))</x:f>
        <x:v>3117</x:v>
      </x:c>
      <x:c r="L1222" s="73" t="str">
        <x:f>INDEX(TrackMap!$F$8:$F$141,H1222)</x:f>
        <x:v>←</x:v>
      </x:c>
      <x:c r="M1222" s="87" t="n">
        <x:f>MAX(0,G1222/Control!$B$17)</x:f>
        <x:v>1</x:v>
      </x:c>
      <x:c r="N1222" s="73" t="n">
        <x:f>IF(N1216&gt;0,N1216,IF(G1222&gt;=Control!$B$17,A1222,0))</x:f>
        <x:v>195</x:v>
      </x:c>
      <x:c r="O1222" s="91" t="n">
        <x:f>IF(N1222&gt;0,Control!$B$17+Control!$B$8+1-N1222,G1222)-B1222/100000</x:f>
        <x:v>715.99997</x:v>
      </x:c>
      <x:c r="P1222" s="73" t="n">
        <x:f>COUNTIF($O$1220:$O$1225,"&gt;"&amp;O1222)+1</x:f>
        <x:v>2</x:v>
      </x:c>
      <x:c r="Q1222" s="83" t="n">
        <x:f>MAX($G$1220:$G$1225)-G1222</x:f>
        <x:v>0</x:v>
      </x:c>
      <x:c r="R1222" s="73" t="str">
        <x:f>INDEX(TrackMap!$B$8:$B$141,H1222)</x:f>
        <x:v>发车大直道</x:v>
      </x:c>
    </x:row>
    <x:row r="1223" ht="20" customHeight="1">
      <x:c r="A1223" s="73" t="n">
        <x:v>202</x:v>
      </x:c>
      <x:c r="B1223" s="73" t="n">
        <x:v>4</x:v>
      </x:c>
      <x:c r="C1223" s="73" t="str">
        <x:f>INDEX(Drivers!$B$8:$B$13,B1223)</x:f>
        <x:v>紫影</x:v>
      </x:c>
      <x:c r="D1223" s="83" t="n">
        <x:f>G1217</x:f>
        <x:v>670</x:v>
      </x:c>
      <x:c r="E1223" s="83" t="str">
        <x:f>IF(A1223=0,"GRID",IF(D1223&gt;=Control!$B$17,"FINISHED",IF(AND(A1223&gt;=INDEX(Drivers!$G$8:$G$13,B1223),A1223&lt;INDEX(Drivers!$G$8:$G$13,B1223)+INDEX(Drivers!$J$8:$J$13,B1223)),"PIT",IF(MOD(A1223+INDEX(Drivers!$F$8:$F$13,B1223),Control!$B$11)&lt;Control!$B$13,"BOOST","RACE"))))</x:f>
        <x:v>FINISHED</x:v>
      </x:c>
      <x:c r="F1223" s="83" t="n">
        <x:f>IF(OR(E1223="GRID",E1223="FINISHED",E1223="PIT"),0,MAX(Control!$B$15,(INDEX(Drivers!$D$8:$D$13,B1223)+INDEX(Drivers!$E$8:$E$13,B1223)*SIN((A1223+INDEX(Drivers!$F$8:$F$13,B1223)+Control!$B$16)*Control!$B$14))*INDEX(TrackMap!$M$8:$M$141,MOD(INT(D1223)-1,Control!$B$7)+1)*IF(E1223="BOOST",Control!$B$12,1)))</x:f>
        <x:v>0</x:v>
      </x:c>
      <x:c r="G1223" s="83" t="n">
        <x:f>IF(A1223=0,D1223,MIN(Control!$B$17,D1223+F1223))</x:f>
        <x:v>670</x:v>
      </x:c>
      <x:c r="H1223" s="73" t="n">
        <x:f>MOD(INT(G1223)-1,Control!$B$7)+1</x:f>
        <x:v>134</x:v>
      </x:c>
      <x:c r="I1223" s="73" t="n">
        <x:f>MIN(Control!$B$6,MAX(1,INT(MAX(0,G1223)/Control!$B$7)+1))</x:f>
        <x:v>5</x:v>
      </x:c>
      <x:c r="J1223" s="73" t="n">
        <x:f>INDEX(Drivers!$H$8:$H$13,B1223)</x:f>
        <x:v>2</x:v>
      </x:c>
      <x:c r="K1223" s="73" t="n">
        <x:f>IF(J1223=1,INDEX(TrackMap!$I$8:$I$141,H1223),INDEX(TrackMap!$L$8:$L$141,H1223))</x:f>
        <x:v>3017</x:v>
      </x:c>
      <x:c r="L1223" s="73" t="str">
        <x:f>INDEX(TrackMap!$F$8:$F$141,H1223)</x:f>
        <x:v>←</x:v>
      </x:c>
      <x:c r="M1223" s="87" t="n">
        <x:f>MAX(0,G1223/Control!$B$17)</x:f>
        <x:v>1</x:v>
      </x:c>
      <x:c r="N1223" s="73" t="n">
        <x:f>IF(N1217&gt;0,N1217,IF(G1223&gt;=Control!$B$17,A1223,0))</x:f>
        <x:v>198</x:v>
      </x:c>
      <x:c r="O1223" s="91" t="n">
        <x:f>IF(N1223&gt;0,Control!$B$17+Control!$B$8+1-N1223,G1223)-B1223/100000</x:f>
        <x:v>712.99996</x:v>
      </x:c>
      <x:c r="P1223" s="73" t="n">
        <x:f>COUNTIF($O$1220:$O$1225,"&gt;"&amp;O1223)+1</x:f>
        <x:v>5</x:v>
      </x:c>
      <x:c r="Q1223" s="83" t="n">
        <x:f>MAX($G$1220:$G$1225)-G1223</x:f>
        <x:v>0</x:v>
      </x:c>
      <x:c r="R1223" s="73" t="str">
        <x:f>INDEX(TrackMap!$B$8:$B$141,H1223)</x:f>
        <x:v>发车大直道</x:v>
      </x:c>
    </x:row>
    <x:row r="1224" ht="20" customHeight="1">
      <x:c r="A1224" s="73" t="n">
        <x:v>202</x:v>
      </x:c>
      <x:c r="B1224" s="73" t="n">
        <x:v>5</x:v>
      </x:c>
      <x:c r="C1224" s="73" t="str">
        <x:f>INDEX(Drivers!$B$8:$B$13,B1224)</x:f>
        <x:v>青锋</x:v>
      </x:c>
      <x:c r="D1224" s="83" t="n">
        <x:f>G1218</x:f>
        <x:v>670</x:v>
      </x:c>
      <x:c r="E1224" s="83" t="str">
        <x:f>IF(A1224=0,"GRID",IF(D1224&gt;=Control!$B$17,"FINISHED",IF(AND(A1224&gt;=INDEX(Drivers!$G$8:$G$13,B1224),A1224&lt;INDEX(Drivers!$G$8:$G$13,B1224)+INDEX(Drivers!$J$8:$J$13,B1224)),"PIT",IF(MOD(A1224+INDEX(Drivers!$F$8:$F$13,B1224),Control!$B$11)&lt;Control!$B$13,"BOOST","RACE"))))</x:f>
        <x:v>FINISHED</x:v>
      </x:c>
      <x:c r="F1224" s="83" t="n">
        <x:f>IF(OR(E1224="GRID",E1224="FINISHED",E1224="PIT"),0,MAX(Control!$B$15,(INDEX(Drivers!$D$8:$D$13,B1224)+INDEX(Drivers!$E$8:$E$13,B1224)*SIN((A1224+INDEX(Drivers!$F$8:$F$13,B1224)+Control!$B$16)*Control!$B$14))*INDEX(TrackMap!$M$8:$M$141,MOD(INT(D1224)-1,Control!$B$7)+1)*IF(E1224="BOOST",Control!$B$12,1)))</x:f>
        <x:v>0</x:v>
      </x:c>
      <x:c r="G1224" s="83" t="n">
        <x:f>IF(A1224=0,D1224,MIN(Control!$B$17,D1224+F1224))</x:f>
        <x:v>670</x:v>
      </x:c>
      <x:c r="H1224" s="73" t="n">
        <x:f>MOD(INT(G1224)-1,Control!$B$7)+1</x:f>
        <x:v>134</x:v>
      </x:c>
      <x:c r="I1224" s="73" t="n">
        <x:f>MIN(Control!$B$6,MAX(1,INT(MAX(0,G1224)/Control!$B$7)+1))</x:f>
        <x:v>5</x:v>
      </x:c>
      <x:c r="J1224" s="73" t="n">
        <x:f>INDEX(Drivers!$H$8:$H$13,B1224)</x:f>
        <x:v>1</x:v>
      </x:c>
      <x:c r="K1224" s="73" t="n">
        <x:f>IF(J1224=1,INDEX(TrackMap!$I$8:$I$141,H1224),INDEX(TrackMap!$L$8:$L$141,H1224))</x:f>
        <x:v>3117</x:v>
      </x:c>
      <x:c r="L1224" s="73" t="str">
        <x:f>INDEX(TrackMap!$F$8:$F$141,H1224)</x:f>
        <x:v>←</x:v>
      </x:c>
      <x:c r="M1224" s="87" t="n">
        <x:f>MAX(0,G1224/Control!$B$17)</x:f>
        <x:v>1</x:v>
      </x:c>
      <x:c r="N1224" s="73" t="n">
        <x:f>IF(N1218&gt;0,N1218,IF(G1224&gt;=Control!$B$17,A1224,0))</x:f>
        <x:v>195</x:v>
      </x:c>
      <x:c r="O1224" s="91" t="n">
        <x:f>IF(N1224&gt;0,Control!$B$17+Control!$B$8+1-N1224,G1224)-B1224/100000</x:f>
        <x:v>715.99995</x:v>
      </x:c>
      <x:c r="P1224" s="73" t="n">
        <x:f>COUNTIF($O$1220:$O$1225,"&gt;"&amp;O1224)+1</x:f>
        <x:v>3</x:v>
      </x:c>
      <x:c r="Q1224" s="83" t="n">
        <x:f>MAX($G$1220:$G$1225)-G1224</x:f>
        <x:v>0</x:v>
      </x:c>
      <x:c r="R1224" s="73" t="str">
        <x:f>INDEX(TrackMap!$B$8:$B$141,H1224)</x:f>
        <x:v>发车大直道</x:v>
      </x:c>
    </x:row>
    <x:row r="1225" ht="20" customHeight="1">
      <x:c r="A1225" s="73" t="n">
        <x:v>202</x:v>
      </x:c>
      <x:c r="B1225" s="73" t="n">
        <x:v>6</x:v>
      </x:c>
      <x:c r="C1225" s="73" t="str">
        <x:f>INDEX(Drivers!$B$8:$B$13,B1225)</x:f>
        <x:v>玫速</x:v>
      </x:c>
      <x:c r="D1225" s="83" t="n">
        <x:f>G1219</x:f>
        <x:v>670</x:v>
      </x:c>
      <x:c r="E1225" s="83" t="str">
        <x:f>IF(A1225=0,"GRID",IF(D1225&gt;=Control!$B$17,"FINISHED",IF(AND(A1225&gt;=INDEX(Drivers!$G$8:$G$13,B1225),A1225&lt;INDEX(Drivers!$G$8:$G$13,B1225)+INDEX(Drivers!$J$8:$J$13,B1225)),"PIT",IF(MOD(A1225+INDEX(Drivers!$F$8:$F$13,B1225),Control!$B$11)&lt;Control!$B$13,"BOOST","RACE"))))</x:f>
        <x:v>FINISHED</x:v>
      </x:c>
      <x:c r="F1225" s="83" t="n">
        <x:f>IF(OR(E1225="GRID",E1225="FINISHED",E1225="PIT"),0,MAX(Control!$B$15,(INDEX(Drivers!$D$8:$D$13,B1225)+INDEX(Drivers!$E$8:$E$13,B1225)*SIN((A1225+INDEX(Drivers!$F$8:$F$13,B1225)+Control!$B$16)*Control!$B$14))*INDEX(TrackMap!$M$8:$M$141,MOD(INT(D1225)-1,Control!$B$7)+1)*IF(E1225="BOOST",Control!$B$12,1)))</x:f>
        <x:v>0</x:v>
      </x:c>
      <x:c r="G1225" s="83" t="n">
        <x:f>IF(A1225=0,D1225,MIN(Control!$B$17,D1225+F1225))</x:f>
        <x:v>670</x:v>
      </x:c>
      <x:c r="H1225" s="73" t="n">
        <x:f>MOD(INT(G1225)-1,Control!$B$7)+1</x:f>
        <x:v>134</x:v>
      </x:c>
      <x:c r="I1225" s="73" t="n">
        <x:f>MIN(Control!$B$6,MAX(1,INT(MAX(0,G1225)/Control!$B$7)+1))</x:f>
        <x:v>5</x:v>
      </x:c>
      <x:c r="J1225" s="73" t="n">
        <x:f>INDEX(Drivers!$H$8:$H$13,B1225)</x:f>
        <x:v>2</x:v>
      </x:c>
      <x:c r="K1225" s="73" t="n">
        <x:f>IF(J1225=1,INDEX(TrackMap!$I$8:$I$141,H1225),INDEX(TrackMap!$L$8:$L$141,H1225))</x:f>
        <x:v>3017</x:v>
      </x:c>
      <x:c r="L1225" s="73" t="str">
        <x:f>INDEX(TrackMap!$F$8:$F$141,H1225)</x:f>
        <x:v>←</x:v>
      </x:c>
      <x:c r="M1225" s="87" t="n">
        <x:f>MAX(0,G1225/Control!$B$17)</x:f>
        <x:v>1</x:v>
      </x:c>
      <x:c r="N1225" s="73" t="n">
        <x:f>IF(N1219&gt;0,N1219,IF(G1225&gt;=Control!$B$17,A1225,0))</x:f>
        <x:v>196</x:v>
      </x:c>
      <x:c r="O1225" s="91" t="n">
        <x:f>IF(N1225&gt;0,Control!$B$17+Control!$B$8+1-N1225,G1225)-B1225/100000</x:f>
        <x:v>714.99994</x:v>
      </x:c>
      <x:c r="P1225" s="73" t="n">
        <x:f>COUNTIF($O$1220:$O$1225,"&gt;"&amp;O1225)+1</x:f>
        <x:v>4</x:v>
      </x:c>
      <x:c r="Q1225" s="83" t="n">
        <x:f>MAX($G$1220:$G$1225)-G1225</x:f>
        <x:v>0</x:v>
      </x:c>
      <x:c r="R1225" s="73" t="str">
        <x:f>INDEX(TrackMap!$B$8:$B$141,H1225)</x:f>
        <x:v>发车大直道</x:v>
      </x:c>
    </x:row>
    <x:row r="1226" ht="20" customHeight="1">
      <x:c r="A1226" s="73" t="n">
        <x:v>203</x:v>
      </x:c>
      <x:c r="B1226" s="73" t="n">
        <x:v>1</x:v>
      </x:c>
      <x:c r="C1226" s="73" t="str">
        <x:f>INDEX(Drivers!$B$8:$B$13,B1226)</x:f>
        <x:v>赤焰</x:v>
      </x:c>
      <x:c r="D1226" s="83" t="n">
        <x:f>G1220</x:f>
        <x:v>670</x:v>
      </x:c>
      <x:c r="E1226" s="83" t="str">
        <x:f>IF(A1226=0,"GRID",IF(D1226&gt;=Control!$B$17,"FINISHED",IF(AND(A1226&gt;=INDEX(Drivers!$G$8:$G$13,B1226),A1226&lt;INDEX(Drivers!$G$8:$G$13,B1226)+INDEX(Drivers!$J$8:$J$13,B1226)),"PIT",IF(MOD(A1226+INDEX(Drivers!$F$8:$F$13,B1226),Control!$B$11)&lt;Control!$B$13,"BOOST","RACE"))))</x:f>
        <x:v>FINISHED</x:v>
      </x:c>
      <x:c r="F1226" s="83" t="n">
        <x:f>IF(OR(E1226="GRID",E1226="FINISHED",E1226="PIT"),0,MAX(Control!$B$15,(INDEX(Drivers!$D$8:$D$13,B1226)+INDEX(Drivers!$E$8:$E$13,B1226)*SIN((A1226+INDEX(Drivers!$F$8:$F$13,B1226)+Control!$B$16)*Control!$B$14))*INDEX(TrackMap!$M$8:$M$141,MOD(INT(D1226)-1,Control!$B$7)+1)*IF(E1226="BOOST",Control!$B$12,1)))</x:f>
        <x:v>0</x:v>
      </x:c>
      <x:c r="G1226" s="83" t="n">
        <x:f>IF(A1226=0,D1226,MIN(Control!$B$17,D1226+F1226))</x:f>
        <x:v>670</x:v>
      </x:c>
      <x:c r="H1226" s="73" t="n">
        <x:f>MOD(INT(G1226)-1,Control!$B$7)+1</x:f>
        <x:v>134</x:v>
      </x:c>
      <x:c r="I1226" s="73" t="n">
        <x:f>MIN(Control!$B$6,MAX(1,INT(MAX(0,G1226)/Control!$B$7)+1))</x:f>
        <x:v>5</x:v>
      </x:c>
      <x:c r="J1226" s="73" t="n">
        <x:f>INDEX(Drivers!$H$8:$H$13,B1226)</x:f>
        <x:v>1</x:v>
      </x:c>
      <x:c r="K1226" s="73" t="n">
        <x:f>IF(J1226=1,INDEX(TrackMap!$I$8:$I$141,H1226),INDEX(TrackMap!$L$8:$L$141,H1226))</x:f>
        <x:v>3117</x:v>
      </x:c>
      <x:c r="L1226" s="73" t="str">
        <x:f>INDEX(TrackMap!$F$8:$F$141,H1226)</x:f>
        <x:v>←</x:v>
      </x:c>
      <x:c r="M1226" s="87" t="n">
        <x:f>MAX(0,G1226/Control!$B$17)</x:f>
        <x:v>1</x:v>
      </x:c>
      <x:c r="N1226" s="73" t="n">
        <x:f>IF(N1220&gt;0,N1220,IF(G1226&gt;=Control!$B$17,A1226,0))</x:f>
        <x:v>194</x:v>
      </x:c>
      <x:c r="O1226" s="91" t="n">
        <x:f>IF(N1226&gt;0,Control!$B$17+Control!$B$8+1-N1226,G1226)-B1226/100000</x:f>
        <x:v>716.99999</x:v>
      </x:c>
      <x:c r="P1226" s="73" t="n">
        <x:f>COUNTIF($O$1226:$O$1231,"&gt;"&amp;O1226)+1</x:f>
        <x:v>1</x:v>
      </x:c>
      <x:c r="Q1226" s="83" t="n">
        <x:f>MAX($G$1226:$G$1231)-G1226</x:f>
        <x:v>0</x:v>
      </x:c>
      <x:c r="R1226" s="73" t="str">
        <x:f>INDEX(TrackMap!$B$8:$B$141,H1226)</x:f>
        <x:v>发车大直道</x:v>
      </x:c>
    </x:row>
    <x:row r="1227" ht="20" customHeight="1">
      <x:c r="A1227" s="73" t="n">
        <x:v>203</x:v>
      </x:c>
      <x:c r="B1227" s="73" t="n">
        <x:v>2</x:v>
      </x:c>
      <x:c r="C1227" s="73" t="str">
        <x:f>INDEX(Drivers!$B$8:$B$13,B1227)</x:f>
        <x:v>蓝电</x:v>
      </x:c>
      <x:c r="D1227" s="83" t="n">
        <x:f>G1221</x:f>
        <x:v>670</x:v>
      </x:c>
      <x:c r="E1227" s="83" t="str">
        <x:f>IF(A1227=0,"GRID",IF(D1227&gt;=Control!$B$17,"FINISHED",IF(AND(A1227&gt;=INDEX(Drivers!$G$8:$G$13,B1227),A1227&lt;INDEX(Drivers!$G$8:$G$13,B1227)+INDEX(Drivers!$J$8:$J$13,B1227)),"PIT",IF(MOD(A1227+INDEX(Drivers!$F$8:$F$13,B1227),Control!$B$11)&lt;Control!$B$13,"BOOST","RACE"))))</x:f>
        <x:v>FINISHED</x:v>
      </x:c>
      <x:c r="F1227" s="83" t="n">
        <x:f>IF(OR(E1227="GRID",E1227="FINISHED",E1227="PIT"),0,MAX(Control!$B$15,(INDEX(Drivers!$D$8:$D$13,B1227)+INDEX(Drivers!$E$8:$E$13,B1227)*SIN((A1227+INDEX(Drivers!$F$8:$F$13,B1227)+Control!$B$16)*Control!$B$14))*INDEX(TrackMap!$M$8:$M$141,MOD(INT(D1227)-1,Control!$B$7)+1)*IF(E1227="BOOST",Control!$B$12,1)))</x:f>
        <x:v>0</x:v>
      </x:c>
      <x:c r="G1227" s="83" t="n">
        <x:f>IF(A1227=0,D1227,MIN(Control!$B$17,D1227+F1227))</x:f>
        <x:v>670</x:v>
      </x:c>
      <x:c r="H1227" s="73" t="n">
        <x:f>MOD(INT(G1227)-1,Control!$B$7)+1</x:f>
        <x:v>134</x:v>
      </x:c>
      <x:c r="I1227" s="73" t="n">
        <x:f>MIN(Control!$B$6,MAX(1,INT(MAX(0,G1227)/Control!$B$7)+1))</x:f>
        <x:v>5</x:v>
      </x:c>
      <x:c r="J1227" s="73" t="n">
        <x:f>INDEX(Drivers!$H$8:$H$13,B1227)</x:f>
        <x:v>2</x:v>
      </x:c>
      <x:c r="K1227" s="73" t="n">
        <x:f>IF(J1227=1,INDEX(TrackMap!$I$8:$I$141,H1227),INDEX(TrackMap!$L$8:$L$141,H1227))</x:f>
        <x:v>3017</x:v>
      </x:c>
      <x:c r="L1227" s="73" t="str">
        <x:f>INDEX(TrackMap!$F$8:$F$141,H1227)</x:f>
        <x:v>←</x:v>
      </x:c>
      <x:c r="M1227" s="87" t="n">
        <x:f>MAX(0,G1227/Control!$B$17)</x:f>
        <x:v>1</x:v>
      </x:c>
      <x:c r="N1227" s="73" t="n">
        <x:f>IF(N1221&gt;0,N1221,IF(G1227&gt;=Control!$B$17,A1227,0))</x:f>
        <x:v>201</x:v>
      </x:c>
      <x:c r="O1227" s="91" t="n">
        <x:f>IF(N1227&gt;0,Control!$B$17+Control!$B$8+1-N1227,G1227)-B1227/100000</x:f>
        <x:v>709.99998</x:v>
      </x:c>
      <x:c r="P1227" s="73" t="n">
        <x:f>COUNTIF($O$1226:$O$1231,"&gt;"&amp;O1227)+1</x:f>
        <x:v>6</x:v>
      </x:c>
      <x:c r="Q1227" s="83" t="n">
        <x:f>MAX($G$1226:$G$1231)-G1227</x:f>
        <x:v>0</x:v>
      </x:c>
      <x:c r="R1227" s="73" t="str">
        <x:f>INDEX(TrackMap!$B$8:$B$141,H1227)</x:f>
        <x:v>发车大直道</x:v>
      </x:c>
    </x:row>
    <x:row r="1228" ht="20" customHeight="1">
      <x:c r="A1228" s="73" t="n">
        <x:v>203</x:v>
      </x:c>
      <x:c r="B1228" s="73" t="n">
        <x:v>3</x:v>
      </x:c>
      <x:c r="C1228" s="73" t="str">
        <x:f>INDEX(Drivers!$B$8:$B$13,B1228)</x:f>
        <x:v>金翼</x:v>
      </x:c>
      <x:c r="D1228" s="83" t="n">
        <x:f>G1222</x:f>
        <x:v>670</x:v>
      </x:c>
      <x:c r="E1228" s="83" t="str">
        <x:f>IF(A1228=0,"GRID",IF(D1228&gt;=Control!$B$17,"FINISHED",IF(AND(A1228&gt;=INDEX(Drivers!$G$8:$G$13,B1228),A1228&lt;INDEX(Drivers!$G$8:$G$13,B1228)+INDEX(Drivers!$J$8:$J$13,B1228)),"PIT",IF(MOD(A1228+INDEX(Drivers!$F$8:$F$13,B1228),Control!$B$11)&lt;Control!$B$13,"BOOST","RACE"))))</x:f>
        <x:v>FINISHED</x:v>
      </x:c>
      <x:c r="F1228" s="83" t="n">
        <x:f>IF(OR(E1228="GRID",E1228="FINISHED",E1228="PIT"),0,MAX(Control!$B$15,(INDEX(Drivers!$D$8:$D$13,B1228)+INDEX(Drivers!$E$8:$E$13,B1228)*SIN((A1228+INDEX(Drivers!$F$8:$F$13,B1228)+Control!$B$16)*Control!$B$14))*INDEX(TrackMap!$M$8:$M$141,MOD(INT(D1228)-1,Control!$B$7)+1)*IF(E1228="BOOST",Control!$B$12,1)))</x:f>
        <x:v>0</x:v>
      </x:c>
      <x:c r="G1228" s="83" t="n">
        <x:f>IF(A1228=0,D1228,MIN(Control!$B$17,D1228+F1228))</x:f>
        <x:v>670</x:v>
      </x:c>
      <x:c r="H1228" s="73" t="n">
        <x:f>MOD(INT(G1228)-1,Control!$B$7)+1</x:f>
        <x:v>134</x:v>
      </x:c>
      <x:c r="I1228" s="73" t="n">
        <x:f>MIN(Control!$B$6,MAX(1,INT(MAX(0,G1228)/Control!$B$7)+1))</x:f>
        <x:v>5</x:v>
      </x:c>
      <x:c r="J1228" s="73" t="n">
        <x:f>INDEX(Drivers!$H$8:$H$13,B1228)</x:f>
        <x:v>1</x:v>
      </x:c>
      <x:c r="K1228" s="73" t="n">
        <x:f>IF(J1228=1,INDEX(TrackMap!$I$8:$I$141,H1228),INDEX(TrackMap!$L$8:$L$141,H1228))</x:f>
        <x:v>3117</x:v>
      </x:c>
      <x:c r="L1228" s="73" t="str">
        <x:f>INDEX(TrackMap!$F$8:$F$141,H1228)</x:f>
        <x:v>←</x:v>
      </x:c>
      <x:c r="M1228" s="87" t="n">
        <x:f>MAX(0,G1228/Control!$B$17)</x:f>
        <x:v>1</x:v>
      </x:c>
      <x:c r="N1228" s="73" t="n">
        <x:f>IF(N1222&gt;0,N1222,IF(G1228&gt;=Control!$B$17,A1228,0))</x:f>
        <x:v>195</x:v>
      </x:c>
      <x:c r="O1228" s="91" t="n">
        <x:f>IF(N1228&gt;0,Control!$B$17+Control!$B$8+1-N1228,G1228)-B1228/100000</x:f>
        <x:v>715.99997</x:v>
      </x:c>
      <x:c r="P1228" s="73" t="n">
        <x:f>COUNTIF($O$1226:$O$1231,"&gt;"&amp;O1228)+1</x:f>
        <x:v>2</x:v>
      </x:c>
      <x:c r="Q1228" s="83" t="n">
        <x:f>MAX($G$1226:$G$1231)-G1228</x:f>
        <x:v>0</x:v>
      </x:c>
      <x:c r="R1228" s="73" t="str">
        <x:f>INDEX(TrackMap!$B$8:$B$141,H1228)</x:f>
        <x:v>发车大直道</x:v>
      </x:c>
    </x:row>
    <x:row r="1229" ht="20" customHeight="1">
      <x:c r="A1229" s="73" t="n">
        <x:v>203</x:v>
      </x:c>
      <x:c r="B1229" s="73" t="n">
        <x:v>4</x:v>
      </x:c>
      <x:c r="C1229" s="73" t="str">
        <x:f>INDEX(Drivers!$B$8:$B$13,B1229)</x:f>
        <x:v>紫影</x:v>
      </x:c>
      <x:c r="D1229" s="83" t="n">
        <x:f>G1223</x:f>
        <x:v>670</x:v>
      </x:c>
      <x:c r="E1229" s="83" t="str">
        <x:f>IF(A1229=0,"GRID",IF(D1229&gt;=Control!$B$17,"FINISHED",IF(AND(A1229&gt;=INDEX(Drivers!$G$8:$G$13,B1229),A1229&lt;INDEX(Drivers!$G$8:$G$13,B1229)+INDEX(Drivers!$J$8:$J$13,B1229)),"PIT",IF(MOD(A1229+INDEX(Drivers!$F$8:$F$13,B1229),Control!$B$11)&lt;Control!$B$13,"BOOST","RACE"))))</x:f>
        <x:v>FINISHED</x:v>
      </x:c>
      <x:c r="F1229" s="83" t="n">
        <x:f>IF(OR(E1229="GRID",E1229="FINISHED",E1229="PIT"),0,MAX(Control!$B$15,(INDEX(Drivers!$D$8:$D$13,B1229)+INDEX(Drivers!$E$8:$E$13,B1229)*SIN((A1229+INDEX(Drivers!$F$8:$F$13,B1229)+Control!$B$16)*Control!$B$14))*INDEX(TrackMap!$M$8:$M$141,MOD(INT(D1229)-1,Control!$B$7)+1)*IF(E1229="BOOST",Control!$B$12,1)))</x:f>
        <x:v>0</x:v>
      </x:c>
      <x:c r="G1229" s="83" t="n">
        <x:f>IF(A1229=0,D1229,MIN(Control!$B$17,D1229+F1229))</x:f>
        <x:v>670</x:v>
      </x:c>
      <x:c r="H1229" s="73" t="n">
        <x:f>MOD(INT(G1229)-1,Control!$B$7)+1</x:f>
        <x:v>134</x:v>
      </x:c>
      <x:c r="I1229" s="73" t="n">
        <x:f>MIN(Control!$B$6,MAX(1,INT(MAX(0,G1229)/Control!$B$7)+1))</x:f>
        <x:v>5</x:v>
      </x:c>
      <x:c r="J1229" s="73" t="n">
        <x:f>INDEX(Drivers!$H$8:$H$13,B1229)</x:f>
        <x:v>2</x:v>
      </x:c>
      <x:c r="K1229" s="73" t="n">
        <x:f>IF(J1229=1,INDEX(TrackMap!$I$8:$I$141,H1229),INDEX(TrackMap!$L$8:$L$141,H1229))</x:f>
        <x:v>3017</x:v>
      </x:c>
      <x:c r="L1229" s="73" t="str">
        <x:f>INDEX(TrackMap!$F$8:$F$141,H1229)</x:f>
        <x:v>←</x:v>
      </x:c>
      <x:c r="M1229" s="87" t="n">
        <x:f>MAX(0,G1229/Control!$B$17)</x:f>
        <x:v>1</x:v>
      </x:c>
      <x:c r="N1229" s="73" t="n">
        <x:f>IF(N1223&gt;0,N1223,IF(G1229&gt;=Control!$B$17,A1229,0))</x:f>
        <x:v>198</x:v>
      </x:c>
      <x:c r="O1229" s="91" t="n">
        <x:f>IF(N1229&gt;0,Control!$B$17+Control!$B$8+1-N1229,G1229)-B1229/100000</x:f>
        <x:v>712.99996</x:v>
      </x:c>
      <x:c r="P1229" s="73" t="n">
        <x:f>COUNTIF($O$1226:$O$1231,"&gt;"&amp;O1229)+1</x:f>
        <x:v>5</x:v>
      </x:c>
      <x:c r="Q1229" s="83" t="n">
        <x:f>MAX($G$1226:$G$1231)-G1229</x:f>
        <x:v>0</x:v>
      </x:c>
      <x:c r="R1229" s="73" t="str">
        <x:f>INDEX(TrackMap!$B$8:$B$141,H1229)</x:f>
        <x:v>发车大直道</x:v>
      </x:c>
    </x:row>
    <x:row r="1230" ht="20" customHeight="1">
      <x:c r="A1230" s="73" t="n">
        <x:v>203</x:v>
      </x:c>
      <x:c r="B1230" s="73" t="n">
        <x:v>5</x:v>
      </x:c>
      <x:c r="C1230" s="73" t="str">
        <x:f>INDEX(Drivers!$B$8:$B$13,B1230)</x:f>
        <x:v>青锋</x:v>
      </x:c>
      <x:c r="D1230" s="83" t="n">
        <x:f>G1224</x:f>
        <x:v>670</x:v>
      </x:c>
      <x:c r="E1230" s="83" t="str">
        <x:f>IF(A1230=0,"GRID",IF(D1230&gt;=Control!$B$17,"FINISHED",IF(AND(A1230&gt;=INDEX(Drivers!$G$8:$G$13,B1230),A1230&lt;INDEX(Drivers!$G$8:$G$13,B1230)+INDEX(Drivers!$J$8:$J$13,B1230)),"PIT",IF(MOD(A1230+INDEX(Drivers!$F$8:$F$13,B1230),Control!$B$11)&lt;Control!$B$13,"BOOST","RACE"))))</x:f>
        <x:v>FINISHED</x:v>
      </x:c>
      <x:c r="F1230" s="83" t="n">
        <x:f>IF(OR(E1230="GRID",E1230="FINISHED",E1230="PIT"),0,MAX(Control!$B$15,(INDEX(Drivers!$D$8:$D$13,B1230)+INDEX(Drivers!$E$8:$E$13,B1230)*SIN((A1230+INDEX(Drivers!$F$8:$F$13,B1230)+Control!$B$16)*Control!$B$14))*INDEX(TrackMap!$M$8:$M$141,MOD(INT(D1230)-1,Control!$B$7)+1)*IF(E1230="BOOST",Control!$B$12,1)))</x:f>
        <x:v>0</x:v>
      </x:c>
      <x:c r="G1230" s="83" t="n">
        <x:f>IF(A1230=0,D1230,MIN(Control!$B$17,D1230+F1230))</x:f>
        <x:v>670</x:v>
      </x:c>
      <x:c r="H1230" s="73" t="n">
        <x:f>MOD(INT(G1230)-1,Control!$B$7)+1</x:f>
        <x:v>134</x:v>
      </x:c>
      <x:c r="I1230" s="73" t="n">
        <x:f>MIN(Control!$B$6,MAX(1,INT(MAX(0,G1230)/Control!$B$7)+1))</x:f>
        <x:v>5</x:v>
      </x:c>
      <x:c r="J1230" s="73" t="n">
        <x:f>INDEX(Drivers!$H$8:$H$13,B1230)</x:f>
        <x:v>1</x:v>
      </x:c>
      <x:c r="K1230" s="73" t="n">
        <x:f>IF(J1230=1,INDEX(TrackMap!$I$8:$I$141,H1230),INDEX(TrackMap!$L$8:$L$141,H1230))</x:f>
        <x:v>3117</x:v>
      </x:c>
      <x:c r="L1230" s="73" t="str">
        <x:f>INDEX(TrackMap!$F$8:$F$141,H1230)</x:f>
        <x:v>←</x:v>
      </x:c>
      <x:c r="M1230" s="87" t="n">
        <x:f>MAX(0,G1230/Control!$B$17)</x:f>
        <x:v>1</x:v>
      </x:c>
      <x:c r="N1230" s="73" t="n">
        <x:f>IF(N1224&gt;0,N1224,IF(G1230&gt;=Control!$B$17,A1230,0))</x:f>
        <x:v>195</x:v>
      </x:c>
      <x:c r="O1230" s="91" t="n">
        <x:f>IF(N1230&gt;0,Control!$B$17+Control!$B$8+1-N1230,G1230)-B1230/100000</x:f>
        <x:v>715.99995</x:v>
      </x:c>
      <x:c r="P1230" s="73" t="n">
        <x:f>COUNTIF($O$1226:$O$1231,"&gt;"&amp;O1230)+1</x:f>
        <x:v>3</x:v>
      </x:c>
      <x:c r="Q1230" s="83" t="n">
        <x:f>MAX($G$1226:$G$1231)-G1230</x:f>
        <x:v>0</x:v>
      </x:c>
      <x:c r="R1230" s="73" t="str">
        <x:f>INDEX(TrackMap!$B$8:$B$141,H1230)</x:f>
        <x:v>发车大直道</x:v>
      </x:c>
    </x:row>
    <x:row r="1231" ht="20" customHeight="1">
      <x:c r="A1231" s="73" t="n">
        <x:v>203</x:v>
      </x:c>
      <x:c r="B1231" s="73" t="n">
        <x:v>6</x:v>
      </x:c>
      <x:c r="C1231" s="73" t="str">
        <x:f>INDEX(Drivers!$B$8:$B$13,B1231)</x:f>
        <x:v>玫速</x:v>
      </x:c>
      <x:c r="D1231" s="83" t="n">
        <x:f>G1225</x:f>
        <x:v>670</x:v>
      </x:c>
      <x:c r="E1231" s="83" t="str">
        <x:f>IF(A1231=0,"GRID",IF(D1231&gt;=Control!$B$17,"FINISHED",IF(AND(A1231&gt;=INDEX(Drivers!$G$8:$G$13,B1231),A1231&lt;INDEX(Drivers!$G$8:$G$13,B1231)+INDEX(Drivers!$J$8:$J$13,B1231)),"PIT",IF(MOD(A1231+INDEX(Drivers!$F$8:$F$13,B1231),Control!$B$11)&lt;Control!$B$13,"BOOST","RACE"))))</x:f>
        <x:v>FINISHED</x:v>
      </x:c>
      <x:c r="F1231" s="83" t="n">
        <x:f>IF(OR(E1231="GRID",E1231="FINISHED",E1231="PIT"),0,MAX(Control!$B$15,(INDEX(Drivers!$D$8:$D$13,B1231)+INDEX(Drivers!$E$8:$E$13,B1231)*SIN((A1231+INDEX(Drivers!$F$8:$F$13,B1231)+Control!$B$16)*Control!$B$14))*INDEX(TrackMap!$M$8:$M$141,MOD(INT(D1231)-1,Control!$B$7)+1)*IF(E1231="BOOST",Control!$B$12,1)))</x:f>
        <x:v>0</x:v>
      </x:c>
      <x:c r="G1231" s="83" t="n">
        <x:f>IF(A1231=0,D1231,MIN(Control!$B$17,D1231+F1231))</x:f>
        <x:v>670</x:v>
      </x:c>
      <x:c r="H1231" s="73" t="n">
        <x:f>MOD(INT(G1231)-1,Control!$B$7)+1</x:f>
        <x:v>134</x:v>
      </x:c>
      <x:c r="I1231" s="73" t="n">
        <x:f>MIN(Control!$B$6,MAX(1,INT(MAX(0,G1231)/Control!$B$7)+1))</x:f>
        <x:v>5</x:v>
      </x:c>
      <x:c r="J1231" s="73" t="n">
        <x:f>INDEX(Drivers!$H$8:$H$13,B1231)</x:f>
        <x:v>2</x:v>
      </x:c>
      <x:c r="K1231" s="73" t="n">
        <x:f>IF(J1231=1,INDEX(TrackMap!$I$8:$I$141,H1231),INDEX(TrackMap!$L$8:$L$141,H1231))</x:f>
        <x:v>3017</x:v>
      </x:c>
      <x:c r="L1231" s="73" t="str">
        <x:f>INDEX(TrackMap!$F$8:$F$141,H1231)</x:f>
        <x:v>←</x:v>
      </x:c>
      <x:c r="M1231" s="87" t="n">
        <x:f>MAX(0,G1231/Control!$B$17)</x:f>
        <x:v>1</x:v>
      </x:c>
      <x:c r="N1231" s="73" t="n">
        <x:f>IF(N1225&gt;0,N1225,IF(G1231&gt;=Control!$B$17,A1231,0))</x:f>
        <x:v>196</x:v>
      </x:c>
      <x:c r="O1231" s="91" t="n">
        <x:f>IF(N1231&gt;0,Control!$B$17+Control!$B$8+1-N1231,G1231)-B1231/100000</x:f>
        <x:v>714.99994</x:v>
      </x:c>
      <x:c r="P1231" s="73" t="n">
        <x:f>COUNTIF($O$1226:$O$1231,"&gt;"&amp;O1231)+1</x:f>
        <x:v>4</x:v>
      </x:c>
      <x:c r="Q1231" s="83" t="n">
        <x:f>MAX($G$1226:$G$1231)-G1231</x:f>
        <x:v>0</x:v>
      </x:c>
      <x:c r="R1231" s="73" t="str">
        <x:f>INDEX(TrackMap!$B$8:$B$141,H1231)</x:f>
        <x:v>发车大直道</x:v>
      </x:c>
    </x:row>
    <x:row r="1232" ht="20" customHeight="1">
      <x:c r="A1232" s="73" t="n">
        <x:v>204</x:v>
      </x:c>
      <x:c r="B1232" s="73" t="n">
        <x:v>1</x:v>
      </x:c>
      <x:c r="C1232" s="73" t="str">
        <x:f>INDEX(Drivers!$B$8:$B$13,B1232)</x:f>
        <x:v>赤焰</x:v>
      </x:c>
      <x:c r="D1232" s="83" t="n">
        <x:f>G1226</x:f>
        <x:v>670</x:v>
      </x:c>
      <x:c r="E1232" s="83" t="str">
        <x:f>IF(A1232=0,"GRID",IF(D1232&gt;=Control!$B$17,"FINISHED",IF(AND(A1232&gt;=INDEX(Drivers!$G$8:$G$13,B1232),A1232&lt;INDEX(Drivers!$G$8:$G$13,B1232)+INDEX(Drivers!$J$8:$J$13,B1232)),"PIT",IF(MOD(A1232+INDEX(Drivers!$F$8:$F$13,B1232),Control!$B$11)&lt;Control!$B$13,"BOOST","RACE"))))</x:f>
        <x:v>FINISHED</x:v>
      </x:c>
      <x:c r="F1232" s="83" t="n">
        <x:f>IF(OR(E1232="GRID",E1232="FINISHED",E1232="PIT"),0,MAX(Control!$B$15,(INDEX(Drivers!$D$8:$D$13,B1232)+INDEX(Drivers!$E$8:$E$13,B1232)*SIN((A1232+INDEX(Drivers!$F$8:$F$13,B1232)+Control!$B$16)*Control!$B$14))*INDEX(TrackMap!$M$8:$M$141,MOD(INT(D1232)-1,Control!$B$7)+1)*IF(E1232="BOOST",Control!$B$12,1)))</x:f>
        <x:v>0</x:v>
      </x:c>
      <x:c r="G1232" s="83" t="n">
        <x:f>IF(A1232=0,D1232,MIN(Control!$B$17,D1232+F1232))</x:f>
        <x:v>670</x:v>
      </x:c>
      <x:c r="H1232" s="73" t="n">
        <x:f>MOD(INT(G1232)-1,Control!$B$7)+1</x:f>
        <x:v>134</x:v>
      </x:c>
      <x:c r="I1232" s="73" t="n">
        <x:f>MIN(Control!$B$6,MAX(1,INT(MAX(0,G1232)/Control!$B$7)+1))</x:f>
        <x:v>5</x:v>
      </x:c>
      <x:c r="J1232" s="73" t="n">
        <x:f>INDEX(Drivers!$H$8:$H$13,B1232)</x:f>
        <x:v>1</x:v>
      </x:c>
      <x:c r="K1232" s="73" t="n">
        <x:f>IF(J1232=1,INDEX(TrackMap!$I$8:$I$141,H1232),INDEX(TrackMap!$L$8:$L$141,H1232))</x:f>
        <x:v>3117</x:v>
      </x:c>
      <x:c r="L1232" s="73" t="str">
        <x:f>INDEX(TrackMap!$F$8:$F$141,H1232)</x:f>
        <x:v>←</x:v>
      </x:c>
      <x:c r="M1232" s="87" t="n">
        <x:f>MAX(0,G1232/Control!$B$17)</x:f>
        <x:v>1</x:v>
      </x:c>
      <x:c r="N1232" s="73" t="n">
        <x:f>IF(N1226&gt;0,N1226,IF(G1232&gt;=Control!$B$17,A1232,0))</x:f>
        <x:v>194</x:v>
      </x:c>
      <x:c r="O1232" s="91" t="n">
        <x:f>IF(N1232&gt;0,Control!$B$17+Control!$B$8+1-N1232,G1232)-B1232/100000</x:f>
        <x:v>716.99999</x:v>
      </x:c>
      <x:c r="P1232" s="73" t="n">
        <x:f>COUNTIF($O$1232:$O$1237,"&gt;"&amp;O1232)+1</x:f>
        <x:v>1</x:v>
      </x:c>
      <x:c r="Q1232" s="83" t="n">
        <x:f>MAX($G$1232:$G$1237)-G1232</x:f>
        <x:v>0</x:v>
      </x:c>
      <x:c r="R1232" s="73" t="str">
        <x:f>INDEX(TrackMap!$B$8:$B$141,H1232)</x:f>
        <x:v>发车大直道</x:v>
      </x:c>
    </x:row>
    <x:row r="1233" ht="20" customHeight="1">
      <x:c r="A1233" s="73" t="n">
        <x:v>204</x:v>
      </x:c>
      <x:c r="B1233" s="73" t="n">
        <x:v>2</x:v>
      </x:c>
      <x:c r="C1233" s="73" t="str">
        <x:f>INDEX(Drivers!$B$8:$B$13,B1233)</x:f>
        <x:v>蓝电</x:v>
      </x:c>
      <x:c r="D1233" s="83" t="n">
        <x:f>G1227</x:f>
        <x:v>670</x:v>
      </x:c>
      <x:c r="E1233" s="83" t="str">
        <x:f>IF(A1233=0,"GRID",IF(D1233&gt;=Control!$B$17,"FINISHED",IF(AND(A1233&gt;=INDEX(Drivers!$G$8:$G$13,B1233),A1233&lt;INDEX(Drivers!$G$8:$G$13,B1233)+INDEX(Drivers!$J$8:$J$13,B1233)),"PIT",IF(MOD(A1233+INDEX(Drivers!$F$8:$F$13,B1233),Control!$B$11)&lt;Control!$B$13,"BOOST","RACE"))))</x:f>
        <x:v>FINISHED</x:v>
      </x:c>
      <x:c r="F1233" s="83" t="n">
        <x:f>IF(OR(E1233="GRID",E1233="FINISHED",E1233="PIT"),0,MAX(Control!$B$15,(INDEX(Drivers!$D$8:$D$13,B1233)+INDEX(Drivers!$E$8:$E$13,B1233)*SIN((A1233+INDEX(Drivers!$F$8:$F$13,B1233)+Control!$B$16)*Control!$B$14))*INDEX(TrackMap!$M$8:$M$141,MOD(INT(D1233)-1,Control!$B$7)+1)*IF(E1233="BOOST",Control!$B$12,1)))</x:f>
        <x:v>0</x:v>
      </x:c>
      <x:c r="G1233" s="83" t="n">
        <x:f>IF(A1233=0,D1233,MIN(Control!$B$17,D1233+F1233))</x:f>
        <x:v>670</x:v>
      </x:c>
      <x:c r="H1233" s="73" t="n">
        <x:f>MOD(INT(G1233)-1,Control!$B$7)+1</x:f>
        <x:v>134</x:v>
      </x:c>
      <x:c r="I1233" s="73" t="n">
        <x:f>MIN(Control!$B$6,MAX(1,INT(MAX(0,G1233)/Control!$B$7)+1))</x:f>
        <x:v>5</x:v>
      </x:c>
      <x:c r="J1233" s="73" t="n">
        <x:f>INDEX(Drivers!$H$8:$H$13,B1233)</x:f>
        <x:v>2</x:v>
      </x:c>
      <x:c r="K1233" s="73" t="n">
        <x:f>IF(J1233=1,INDEX(TrackMap!$I$8:$I$141,H1233),INDEX(TrackMap!$L$8:$L$141,H1233))</x:f>
        <x:v>3017</x:v>
      </x:c>
      <x:c r="L1233" s="73" t="str">
        <x:f>INDEX(TrackMap!$F$8:$F$141,H1233)</x:f>
        <x:v>←</x:v>
      </x:c>
      <x:c r="M1233" s="87" t="n">
        <x:f>MAX(0,G1233/Control!$B$17)</x:f>
        <x:v>1</x:v>
      </x:c>
      <x:c r="N1233" s="73" t="n">
        <x:f>IF(N1227&gt;0,N1227,IF(G1233&gt;=Control!$B$17,A1233,0))</x:f>
        <x:v>201</x:v>
      </x:c>
      <x:c r="O1233" s="91" t="n">
        <x:f>IF(N1233&gt;0,Control!$B$17+Control!$B$8+1-N1233,G1233)-B1233/100000</x:f>
        <x:v>709.99998</x:v>
      </x:c>
      <x:c r="P1233" s="73" t="n">
        <x:f>COUNTIF($O$1232:$O$1237,"&gt;"&amp;O1233)+1</x:f>
        <x:v>6</x:v>
      </x:c>
      <x:c r="Q1233" s="83" t="n">
        <x:f>MAX($G$1232:$G$1237)-G1233</x:f>
        <x:v>0</x:v>
      </x:c>
      <x:c r="R1233" s="73" t="str">
        <x:f>INDEX(TrackMap!$B$8:$B$141,H1233)</x:f>
        <x:v>发车大直道</x:v>
      </x:c>
    </x:row>
    <x:row r="1234" ht="20" customHeight="1">
      <x:c r="A1234" s="73" t="n">
        <x:v>204</x:v>
      </x:c>
      <x:c r="B1234" s="73" t="n">
        <x:v>3</x:v>
      </x:c>
      <x:c r="C1234" s="73" t="str">
        <x:f>INDEX(Drivers!$B$8:$B$13,B1234)</x:f>
        <x:v>金翼</x:v>
      </x:c>
      <x:c r="D1234" s="83" t="n">
        <x:f>G1228</x:f>
        <x:v>670</x:v>
      </x:c>
      <x:c r="E1234" s="83" t="str">
        <x:f>IF(A1234=0,"GRID",IF(D1234&gt;=Control!$B$17,"FINISHED",IF(AND(A1234&gt;=INDEX(Drivers!$G$8:$G$13,B1234),A1234&lt;INDEX(Drivers!$G$8:$G$13,B1234)+INDEX(Drivers!$J$8:$J$13,B1234)),"PIT",IF(MOD(A1234+INDEX(Drivers!$F$8:$F$13,B1234),Control!$B$11)&lt;Control!$B$13,"BOOST","RACE"))))</x:f>
        <x:v>FINISHED</x:v>
      </x:c>
      <x:c r="F1234" s="83" t="n">
        <x:f>IF(OR(E1234="GRID",E1234="FINISHED",E1234="PIT"),0,MAX(Control!$B$15,(INDEX(Drivers!$D$8:$D$13,B1234)+INDEX(Drivers!$E$8:$E$13,B1234)*SIN((A1234+INDEX(Drivers!$F$8:$F$13,B1234)+Control!$B$16)*Control!$B$14))*INDEX(TrackMap!$M$8:$M$141,MOD(INT(D1234)-1,Control!$B$7)+1)*IF(E1234="BOOST",Control!$B$12,1)))</x:f>
        <x:v>0</x:v>
      </x:c>
      <x:c r="G1234" s="83" t="n">
        <x:f>IF(A1234=0,D1234,MIN(Control!$B$17,D1234+F1234))</x:f>
        <x:v>670</x:v>
      </x:c>
      <x:c r="H1234" s="73" t="n">
        <x:f>MOD(INT(G1234)-1,Control!$B$7)+1</x:f>
        <x:v>134</x:v>
      </x:c>
      <x:c r="I1234" s="73" t="n">
        <x:f>MIN(Control!$B$6,MAX(1,INT(MAX(0,G1234)/Control!$B$7)+1))</x:f>
        <x:v>5</x:v>
      </x:c>
      <x:c r="J1234" s="73" t="n">
        <x:f>INDEX(Drivers!$H$8:$H$13,B1234)</x:f>
        <x:v>1</x:v>
      </x:c>
      <x:c r="K1234" s="73" t="n">
        <x:f>IF(J1234=1,INDEX(TrackMap!$I$8:$I$141,H1234),INDEX(TrackMap!$L$8:$L$141,H1234))</x:f>
        <x:v>3117</x:v>
      </x:c>
      <x:c r="L1234" s="73" t="str">
        <x:f>INDEX(TrackMap!$F$8:$F$141,H1234)</x:f>
        <x:v>←</x:v>
      </x:c>
      <x:c r="M1234" s="87" t="n">
        <x:f>MAX(0,G1234/Control!$B$17)</x:f>
        <x:v>1</x:v>
      </x:c>
      <x:c r="N1234" s="73" t="n">
        <x:f>IF(N1228&gt;0,N1228,IF(G1234&gt;=Control!$B$17,A1234,0))</x:f>
        <x:v>195</x:v>
      </x:c>
      <x:c r="O1234" s="91" t="n">
        <x:f>IF(N1234&gt;0,Control!$B$17+Control!$B$8+1-N1234,G1234)-B1234/100000</x:f>
        <x:v>715.99997</x:v>
      </x:c>
      <x:c r="P1234" s="73" t="n">
        <x:f>COUNTIF($O$1232:$O$1237,"&gt;"&amp;O1234)+1</x:f>
        <x:v>2</x:v>
      </x:c>
      <x:c r="Q1234" s="83" t="n">
        <x:f>MAX($G$1232:$G$1237)-G1234</x:f>
        <x:v>0</x:v>
      </x:c>
      <x:c r="R1234" s="73" t="str">
        <x:f>INDEX(TrackMap!$B$8:$B$141,H1234)</x:f>
        <x:v>发车大直道</x:v>
      </x:c>
    </x:row>
    <x:row r="1235" ht="20" customHeight="1">
      <x:c r="A1235" s="73" t="n">
        <x:v>204</x:v>
      </x:c>
      <x:c r="B1235" s="73" t="n">
        <x:v>4</x:v>
      </x:c>
      <x:c r="C1235" s="73" t="str">
        <x:f>INDEX(Drivers!$B$8:$B$13,B1235)</x:f>
        <x:v>紫影</x:v>
      </x:c>
      <x:c r="D1235" s="83" t="n">
        <x:f>G1229</x:f>
        <x:v>670</x:v>
      </x:c>
      <x:c r="E1235" s="83" t="str">
        <x:f>IF(A1235=0,"GRID",IF(D1235&gt;=Control!$B$17,"FINISHED",IF(AND(A1235&gt;=INDEX(Drivers!$G$8:$G$13,B1235),A1235&lt;INDEX(Drivers!$G$8:$G$13,B1235)+INDEX(Drivers!$J$8:$J$13,B1235)),"PIT",IF(MOD(A1235+INDEX(Drivers!$F$8:$F$13,B1235),Control!$B$11)&lt;Control!$B$13,"BOOST","RACE"))))</x:f>
        <x:v>FINISHED</x:v>
      </x:c>
      <x:c r="F1235" s="83" t="n">
        <x:f>IF(OR(E1235="GRID",E1235="FINISHED",E1235="PIT"),0,MAX(Control!$B$15,(INDEX(Drivers!$D$8:$D$13,B1235)+INDEX(Drivers!$E$8:$E$13,B1235)*SIN((A1235+INDEX(Drivers!$F$8:$F$13,B1235)+Control!$B$16)*Control!$B$14))*INDEX(TrackMap!$M$8:$M$141,MOD(INT(D1235)-1,Control!$B$7)+1)*IF(E1235="BOOST",Control!$B$12,1)))</x:f>
        <x:v>0</x:v>
      </x:c>
      <x:c r="G1235" s="83" t="n">
        <x:f>IF(A1235=0,D1235,MIN(Control!$B$17,D1235+F1235))</x:f>
        <x:v>670</x:v>
      </x:c>
      <x:c r="H1235" s="73" t="n">
        <x:f>MOD(INT(G1235)-1,Control!$B$7)+1</x:f>
        <x:v>134</x:v>
      </x:c>
      <x:c r="I1235" s="73" t="n">
        <x:f>MIN(Control!$B$6,MAX(1,INT(MAX(0,G1235)/Control!$B$7)+1))</x:f>
        <x:v>5</x:v>
      </x:c>
      <x:c r="J1235" s="73" t="n">
        <x:f>INDEX(Drivers!$H$8:$H$13,B1235)</x:f>
        <x:v>2</x:v>
      </x:c>
      <x:c r="K1235" s="73" t="n">
        <x:f>IF(J1235=1,INDEX(TrackMap!$I$8:$I$141,H1235),INDEX(TrackMap!$L$8:$L$141,H1235))</x:f>
        <x:v>3017</x:v>
      </x:c>
      <x:c r="L1235" s="73" t="str">
        <x:f>INDEX(TrackMap!$F$8:$F$141,H1235)</x:f>
        <x:v>←</x:v>
      </x:c>
      <x:c r="M1235" s="87" t="n">
        <x:f>MAX(0,G1235/Control!$B$17)</x:f>
        <x:v>1</x:v>
      </x:c>
      <x:c r="N1235" s="73" t="n">
        <x:f>IF(N1229&gt;0,N1229,IF(G1235&gt;=Control!$B$17,A1235,0))</x:f>
        <x:v>198</x:v>
      </x:c>
      <x:c r="O1235" s="91" t="n">
        <x:f>IF(N1235&gt;0,Control!$B$17+Control!$B$8+1-N1235,G1235)-B1235/100000</x:f>
        <x:v>712.99996</x:v>
      </x:c>
      <x:c r="P1235" s="73" t="n">
        <x:f>COUNTIF($O$1232:$O$1237,"&gt;"&amp;O1235)+1</x:f>
        <x:v>5</x:v>
      </x:c>
      <x:c r="Q1235" s="83" t="n">
        <x:f>MAX($G$1232:$G$1237)-G1235</x:f>
        <x:v>0</x:v>
      </x:c>
      <x:c r="R1235" s="73" t="str">
        <x:f>INDEX(TrackMap!$B$8:$B$141,H1235)</x:f>
        <x:v>发车大直道</x:v>
      </x:c>
    </x:row>
    <x:row r="1236" ht="20" customHeight="1">
      <x:c r="A1236" s="73" t="n">
        <x:v>204</x:v>
      </x:c>
      <x:c r="B1236" s="73" t="n">
        <x:v>5</x:v>
      </x:c>
      <x:c r="C1236" s="73" t="str">
        <x:f>INDEX(Drivers!$B$8:$B$13,B1236)</x:f>
        <x:v>青锋</x:v>
      </x:c>
      <x:c r="D1236" s="83" t="n">
        <x:f>G1230</x:f>
        <x:v>670</x:v>
      </x:c>
      <x:c r="E1236" s="83" t="str">
        <x:f>IF(A1236=0,"GRID",IF(D1236&gt;=Control!$B$17,"FINISHED",IF(AND(A1236&gt;=INDEX(Drivers!$G$8:$G$13,B1236),A1236&lt;INDEX(Drivers!$G$8:$G$13,B1236)+INDEX(Drivers!$J$8:$J$13,B1236)),"PIT",IF(MOD(A1236+INDEX(Drivers!$F$8:$F$13,B1236),Control!$B$11)&lt;Control!$B$13,"BOOST","RACE"))))</x:f>
        <x:v>FINISHED</x:v>
      </x:c>
      <x:c r="F1236" s="83" t="n">
        <x:f>IF(OR(E1236="GRID",E1236="FINISHED",E1236="PIT"),0,MAX(Control!$B$15,(INDEX(Drivers!$D$8:$D$13,B1236)+INDEX(Drivers!$E$8:$E$13,B1236)*SIN((A1236+INDEX(Drivers!$F$8:$F$13,B1236)+Control!$B$16)*Control!$B$14))*INDEX(TrackMap!$M$8:$M$141,MOD(INT(D1236)-1,Control!$B$7)+1)*IF(E1236="BOOST",Control!$B$12,1)))</x:f>
        <x:v>0</x:v>
      </x:c>
      <x:c r="G1236" s="83" t="n">
        <x:f>IF(A1236=0,D1236,MIN(Control!$B$17,D1236+F1236))</x:f>
        <x:v>670</x:v>
      </x:c>
      <x:c r="H1236" s="73" t="n">
        <x:f>MOD(INT(G1236)-1,Control!$B$7)+1</x:f>
        <x:v>134</x:v>
      </x:c>
      <x:c r="I1236" s="73" t="n">
        <x:f>MIN(Control!$B$6,MAX(1,INT(MAX(0,G1236)/Control!$B$7)+1))</x:f>
        <x:v>5</x:v>
      </x:c>
      <x:c r="J1236" s="73" t="n">
        <x:f>INDEX(Drivers!$H$8:$H$13,B1236)</x:f>
        <x:v>1</x:v>
      </x:c>
      <x:c r="K1236" s="73" t="n">
        <x:f>IF(J1236=1,INDEX(TrackMap!$I$8:$I$141,H1236),INDEX(TrackMap!$L$8:$L$141,H1236))</x:f>
        <x:v>3117</x:v>
      </x:c>
      <x:c r="L1236" s="73" t="str">
        <x:f>INDEX(TrackMap!$F$8:$F$141,H1236)</x:f>
        <x:v>←</x:v>
      </x:c>
      <x:c r="M1236" s="87" t="n">
        <x:f>MAX(0,G1236/Control!$B$17)</x:f>
        <x:v>1</x:v>
      </x:c>
      <x:c r="N1236" s="73" t="n">
        <x:f>IF(N1230&gt;0,N1230,IF(G1236&gt;=Control!$B$17,A1236,0))</x:f>
        <x:v>195</x:v>
      </x:c>
      <x:c r="O1236" s="91" t="n">
        <x:f>IF(N1236&gt;0,Control!$B$17+Control!$B$8+1-N1236,G1236)-B1236/100000</x:f>
        <x:v>715.99995</x:v>
      </x:c>
      <x:c r="P1236" s="73" t="n">
        <x:f>COUNTIF($O$1232:$O$1237,"&gt;"&amp;O1236)+1</x:f>
        <x:v>3</x:v>
      </x:c>
      <x:c r="Q1236" s="83" t="n">
        <x:f>MAX($G$1232:$G$1237)-G1236</x:f>
        <x:v>0</x:v>
      </x:c>
      <x:c r="R1236" s="73" t="str">
        <x:f>INDEX(TrackMap!$B$8:$B$141,H1236)</x:f>
        <x:v>发车大直道</x:v>
      </x:c>
    </x:row>
    <x:row r="1237" ht="20" customHeight="1">
      <x:c r="A1237" s="73" t="n">
        <x:v>204</x:v>
      </x:c>
      <x:c r="B1237" s="73" t="n">
        <x:v>6</x:v>
      </x:c>
      <x:c r="C1237" s="73" t="str">
        <x:f>INDEX(Drivers!$B$8:$B$13,B1237)</x:f>
        <x:v>玫速</x:v>
      </x:c>
      <x:c r="D1237" s="83" t="n">
        <x:f>G1231</x:f>
        <x:v>670</x:v>
      </x:c>
      <x:c r="E1237" s="83" t="str">
        <x:f>IF(A1237=0,"GRID",IF(D1237&gt;=Control!$B$17,"FINISHED",IF(AND(A1237&gt;=INDEX(Drivers!$G$8:$G$13,B1237),A1237&lt;INDEX(Drivers!$G$8:$G$13,B1237)+INDEX(Drivers!$J$8:$J$13,B1237)),"PIT",IF(MOD(A1237+INDEX(Drivers!$F$8:$F$13,B1237),Control!$B$11)&lt;Control!$B$13,"BOOST","RACE"))))</x:f>
        <x:v>FINISHED</x:v>
      </x:c>
      <x:c r="F1237" s="83" t="n">
        <x:f>IF(OR(E1237="GRID",E1237="FINISHED",E1237="PIT"),0,MAX(Control!$B$15,(INDEX(Drivers!$D$8:$D$13,B1237)+INDEX(Drivers!$E$8:$E$13,B1237)*SIN((A1237+INDEX(Drivers!$F$8:$F$13,B1237)+Control!$B$16)*Control!$B$14))*INDEX(TrackMap!$M$8:$M$141,MOD(INT(D1237)-1,Control!$B$7)+1)*IF(E1237="BOOST",Control!$B$12,1)))</x:f>
        <x:v>0</x:v>
      </x:c>
      <x:c r="G1237" s="83" t="n">
        <x:f>IF(A1237=0,D1237,MIN(Control!$B$17,D1237+F1237))</x:f>
        <x:v>670</x:v>
      </x:c>
      <x:c r="H1237" s="73" t="n">
        <x:f>MOD(INT(G1237)-1,Control!$B$7)+1</x:f>
        <x:v>134</x:v>
      </x:c>
      <x:c r="I1237" s="73" t="n">
        <x:f>MIN(Control!$B$6,MAX(1,INT(MAX(0,G1237)/Control!$B$7)+1))</x:f>
        <x:v>5</x:v>
      </x:c>
      <x:c r="J1237" s="73" t="n">
        <x:f>INDEX(Drivers!$H$8:$H$13,B1237)</x:f>
        <x:v>2</x:v>
      </x:c>
      <x:c r="K1237" s="73" t="n">
        <x:f>IF(J1237=1,INDEX(TrackMap!$I$8:$I$141,H1237),INDEX(TrackMap!$L$8:$L$141,H1237))</x:f>
        <x:v>3017</x:v>
      </x:c>
      <x:c r="L1237" s="73" t="str">
        <x:f>INDEX(TrackMap!$F$8:$F$141,H1237)</x:f>
        <x:v>←</x:v>
      </x:c>
      <x:c r="M1237" s="87" t="n">
        <x:f>MAX(0,G1237/Control!$B$17)</x:f>
        <x:v>1</x:v>
      </x:c>
      <x:c r="N1237" s="73" t="n">
        <x:f>IF(N1231&gt;0,N1231,IF(G1237&gt;=Control!$B$17,A1237,0))</x:f>
        <x:v>196</x:v>
      </x:c>
      <x:c r="O1237" s="91" t="n">
        <x:f>IF(N1237&gt;0,Control!$B$17+Control!$B$8+1-N1237,G1237)-B1237/100000</x:f>
        <x:v>714.99994</x:v>
      </x:c>
      <x:c r="P1237" s="73" t="n">
        <x:f>COUNTIF($O$1232:$O$1237,"&gt;"&amp;O1237)+1</x:f>
        <x:v>4</x:v>
      </x:c>
      <x:c r="Q1237" s="83" t="n">
        <x:f>MAX($G$1232:$G$1237)-G1237</x:f>
        <x:v>0</x:v>
      </x:c>
      <x:c r="R1237" s="73" t="str">
        <x:f>INDEX(TrackMap!$B$8:$B$141,H1237)</x:f>
        <x:v>发车大直道</x:v>
      </x:c>
    </x:row>
    <x:row r="1238" ht="20" customHeight="1">
      <x:c r="A1238" s="73" t="n">
        <x:v>205</x:v>
      </x:c>
      <x:c r="B1238" s="73" t="n">
        <x:v>1</x:v>
      </x:c>
      <x:c r="C1238" s="73" t="str">
        <x:f>INDEX(Drivers!$B$8:$B$13,B1238)</x:f>
        <x:v>赤焰</x:v>
      </x:c>
      <x:c r="D1238" s="83" t="n">
        <x:f>G1232</x:f>
        <x:v>670</x:v>
      </x:c>
      <x:c r="E1238" s="83" t="str">
        <x:f>IF(A1238=0,"GRID",IF(D1238&gt;=Control!$B$17,"FINISHED",IF(AND(A1238&gt;=INDEX(Drivers!$G$8:$G$13,B1238),A1238&lt;INDEX(Drivers!$G$8:$G$13,B1238)+INDEX(Drivers!$J$8:$J$13,B1238)),"PIT",IF(MOD(A1238+INDEX(Drivers!$F$8:$F$13,B1238),Control!$B$11)&lt;Control!$B$13,"BOOST","RACE"))))</x:f>
        <x:v>FINISHED</x:v>
      </x:c>
      <x:c r="F1238" s="83" t="n">
        <x:f>IF(OR(E1238="GRID",E1238="FINISHED",E1238="PIT"),0,MAX(Control!$B$15,(INDEX(Drivers!$D$8:$D$13,B1238)+INDEX(Drivers!$E$8:$E$13,B1238)*SIN((A1238+INDEX(Drivers!$F$8:$F$13,B1238)+Control!$B$16)*Control!$B$14))*INDEX(TrackMap!$M$8:$M$141,MOD(INT(D1238)-1,Control!$B$7)+1)*IF(E1238="BOOST",Control!$B$12,1)))</x:f>
        <x:v>0</x:v>
      </x:c>
      <x:c r="G1238" s="83" t="n">
        <x:f>IF(A1238=0,D1238,MIN(Control!$B$17,D1238+F1238))</x:f>
        <x:v>670</x:v>
      </x:c>
      <x:c r="H1238" s="73" t="n">
        <x:f>MOD(INT(G1238)-1,Control!$B$7)+1</x:f>
        <x:v>134</x:v>
      </x:c>
      <x:c r="I1238" s="73" t="n">
        <x:f>MIN(Control!$B$6,MAX(1,INT(MAX(0,G1238)/Control!$B$7)+1))</x:f>
        <x:v>5</x:v>
      </x:c>
      <x:c r="J1238" s="73" t="n">
        <x:f>INDEX(Drivers!$H$8:$H$13,B1238)</x:f>
        <x:v>1</x:v>
      </x:c>
      <x:c r="K1238" s="73" t="n">
        <x:f>IF(J1238=1,INDEX(TrackMap!$I$8:$I$141,H1238),INDEX(TrackMap!$L$8:$L$141,H1238))</x:f>
        <x:v>3117</x:v>
      </x:c>
      <x:c r="L1238" s="73" t="str">
        <x:f>INDEX(TrackMap!$F$8:$F$141,H1238)</x:f>
        <x:v>←</x:v>
      </x:c>
      <x:c r="M1238" s="87" t="n">
        <x:f>MAX(0,G1238/Control!$B$17)</x:f>
        <x:v>1</x:v>
      </x:c>
      <x:c r="N1238" s="73" t="n">
        <x:f>IF(N1232&gt;0,N1232,IF(G1238&gt;=Control!$B$17,A1238,0))</x:f>
        <x:v>194</x:v>
      </x:c>
      <x:c r="O1238" s="91" t="n">
        <x:f>IF(N1238&gt;0,Control!$B$17+Control!$B$8+1-N1238,G1238)-B1238/100000</x:f>
        <x:v>716.99999</x:v>
      </x:c>
      <x:c r="P1238" s="73" t="n">
        <x:f>COUNTIF($O$1238:$O$1243,"&gt;"&amp;O1238)+1</x:f>
        <x:v>1</x:v>
      </x:c>
      <x:c r="Q1238" s="83" t="n">
        <x:f>MAX($G$1238:$G$1243)-G1238</x:f>
        <x:v>0</x:v>
      </x:c>
      <x:c r="R1238" s="73" t="str">
        <x:f>INDEX(TrackMap!$B$8:$B$141,H1238)</x:f>
        <x:v>发车大直道</x:v>
      </x:c>
    </x:row>
    <x:row r="1239" ht="20" customHeight="1">
      <x:c r="A1239" s="73" t="n">
        <x:v>205</x:v>
      </x:c>
      <x:c r="B1239" s="73" t="n">
        <x:v>2</x:v>
      </x:c>
      <x:c r="C1239" s="73" t="str">
        <x:f>INDEX(Drivers!$B$8:$B$13,B1239)</x:f>
        <x:v>蓝电</x:v>
      </x:c>
      <x:c r="D1239" s="83" t="n">
        <x:f>G1233</x:f>
        <x:v>670</x:v>
      </x:c>
      <x:c r="E1239" s="83" t="str">
        <x:f>IF(A1239=0,"GRID",IF(D1239&gt;=Control!$B$17,"FINISHED",IF(AND(A1239&gt;=INDEX(Drivers!$G$8:$G$13,B1239),A1239&lt;INDEX(Drivers!$G$8:$G$13,B1239)+INDEX(Drivers!$J$8:$J$13,B1239)),"PIT",IF(MOD(A1239+INDEX(Drivers!$F$8:$F$13,B1239),Control!$B$11)&lt;Control!$B$13,"BOOST","RACE"))))</x:f>
        <x:v>FINISHED</x:v>
      </x:c>
      <x:c r="F1239" s="83" t="n">
        <x:f>IF(OR(E1239="GRID",E1239="FINISHED",E1239="PIT"),0,MAX(Control!$B$15,(INDEX(Drivers!$D$8:$D$13,B1239)+INDEX(Drivers!$E$8:$E$13,B1239)*SIN((A1239+INDEX(Drivers!$F$8:$F$13,B1239)+Control!$B$16)*Control!$B$14))*INDEX(TrackMap!$M$8:$M$141,MOD(INT(D1239)-1,Control!$B$7)+1)*IF(E1239="BOOST",Control!$B$12,1)))</x:f>
        <x:v>0</x:v>
      </x:c>
      <x:c r="G1239" s="83" t="n">
        <x:f>IF(A1239=0,D1239,MIN(Control!$B$17,D1239+F1239))</x:f>
        <x:v>670</x:v>
      </x:c>
      <x:c r="H1239" s="73" t="n">
        <x:f>MOD(INT(G1239)-1,Control!$B$7)+1</x:f>
        <x:v>134</x:v>
      </x:c>
      <x:c r="I1239" s="73" t="n">
        <x:f>MIN(Control!$B$6,MAX(1,INT(MAX(0,G1239)/Control!$B$7)+1))</x:f>
        <x:v>5</x:v>
      </x:c>
      <x:c r="J1239" s="73" t="n">
        <x:f>INDEX(Drivers!$H$8:$H$13,B1239)</x:f>
        <x:v>2</x:v>
      </x:c>
      <x:c r="K1239" s="73" t="n">
        <x:f>IF(J1239=1,INDEX(TrackMap!$I$8:$I$141,H1239),INDEX(TrackMap!$L$8:$L$141,H1239))</x:f>
        <x:v>3017</x:v>
      </x:c>
      <x:c r="L1239" s="73" t="str">
        <x:f>INDEX(TrackMap!$F$8:$F$141,H1239)</x:f>
        <x:v>←</x:v>
      </x:c>
      <x:c r="M1239" s="87" t="n">
        <x:f>MAX(0,G1239/Control!$B$17)</x:f>
        <x:v>1</x:v>
      </x:c>
      <x:c r="N1239" s="73" t="n">
        <x:f>IF(N1233&gt;0,N1233,IF(G1239&gt;=Control!$B$17,A1239,0))</x:f>
        <x:v>201</x:v>
      </x:c>
      <x:c r="O1239" s="91" t="n">
        <x:f>IF(N1239&gt;0,Control!$B$17+Control!$B$8+1-N1239,G1239)-B1239/100000</x:f>
        <x:v>709.99998</x:v>
      </x:c>
      <x:c r="P1239" s="73" t="n">
        <x:f>COUNTIF($O$1238:$O$1243,"&gt;"&amp;O1239)+1</x:f>
        <x:v>6</x:v>
      </x:c>
      <x:c r="Q1239" s="83" t="n">
        <x:f>MAX($G$1238:$G$1243)-G1239</x:f>
        <x:v>0</x:v>
      </x:c>
      <x:c r="R1239" s="73" t="str">
        <x:f>INDEX(TrackMap!$B$8:$B$141,H1239)</x:f>
        <x:v>发车大直道</x:v>
      </x:c>
    </x:row>
    <x:row r="1240" ht="20" customHeight="1">
      <x:c r="A1240" s="73" t="n">
        <x:v>205</x:v>
      </x:c>
      <x:c r="B1240" s="73" t="n">
        <x:v>3</x:v>
      </x:c>
      <x:c r="C1240" s="73" t="str">
        <x:f>INDEX(Drivers!$B$8:$B$13,B1240)</x:f>
        <x:v>金翼</x:v>
      </x:c>
      <x:c r="D1240" s="83" t="n">
        <x:f>G1234</x:f>
        <x:v>670</x:v>
      </x:c>
      <x:c r="E1240" s="83" t="str">
        <x:f>IF(A1240=0,"GRID",IF(D1240&gt;=Control!$B$17,"FINISHED",IF(AND(A1240&gt;=INDEX(Drivers!$G$8:$G$13,B1240),A1240&lt;INDEX(Drivers!$G$8:$G$13,B1240)+INDEX(Drivers!$J$8:$J$13,B1240)),"PIT",IF(MOD(A1240+INDEX(Drivers!$F$8:$F$13,B1240),Control!$B$11)&lt;Control!$B$13,"BOOST","RACE"))))</x:f>
        <x:v>FINISHED</x:v>
      </x:c>
      <x:c r="F1240" s="83" t="n">
        <x:f>IF(OR(E1240="GRID",E1240="FINISHED",E1240="PIT"),0,MAX(Control!$B$15,(INDEX(Drivers!$D$8:$D$13,B1240)+INDEX(Drivers!$E$8:$E$13,B1240)*SIN((A1240+INDEX(Drivers!$F$8:$F$13,B1240)+Control!$B$16)*Control!$B$14))*INDEX(TrackMap!$M$8:$M$141,MOD(INT(D1240)-1,Control!$B$7)+1)*IF(E1240="BOOST",Control!$B$12,1)))</x:f>
        <x:v>0</x:v>
      </x:c>
      <x:c r="G1240" s="83" t="n">
        <x:f>IF(A1240=0,D1240,MIN(Control!$B$17,D1240+F1240))</x:f>
        <x:v>670</x:v>
      </x:c>
      <x:c r="H1240" s="73" t="n">
        <x:f>MOD(INT(G1240)-1,Control!$B$7)+1</x:f>
        <x:v>134</x:v>
      </x:c>
      <x:c r="I1240" s="73" t="n">
        <x:f>MIN(Control!$B$6,MAX(1,INT(MAX(0,G1240)/Control!$B$7)+1))</x:f>
        <x:v>5</x:v>
      </x:c>
      <x:c r="J1240" s="73" t="n">
        <x:f>INDEX(Drivers!$H$8:$H$13,B1240)</x:f>
        <x:v>1</x:v>
      </x:c>
      <x:c r="K1240" s="73" t="n">
        <x:f>IF(J1240=1,INDEX(TrackMap!$I$8:$I$141,H1240),INDEX(TrackMap!$L$8:$L$141,H1240))</x:f>
        <x:v>3117</x:v>
      </x:c>
      <x:c r="L1240" s="73" t="str">
        <x:f>INDEX(TrackMap!$F$8:$F$141,H1240)</x:f>
        <x:v>←</x:v>
      </x:c>
      <x:c r="M1240" s="87" t="n">
        <x:f>MAX(0,G1240/Control!$B$17)</x:f>
        <x:v>1</x:v>
      </x:c>
      <x:c r="N1240" s="73" t="n">
        <x:f>IF(N1234&gt;0,N1234,IF(G1240&gt;=Control!$B$17,A1240,0))</x:f>
        <x:v>195</x:v>
      </x:c>
      <x:c r="O1240" s="91" t="n">
        <x:f>IF(N1240&gt;0,Control!$B$17+Control!$B$8+1-N1240,G1240)-B1240/100000</x:f>
        <x:v>715.99997</x:v>
      </x:c>
      <x:c r="P1240" s="73" t="n">
        <x:f>COUNTIF($O$1238:$O$1243,"&gt;"&amp;O1240)+1</x:f>
        <x:v>2</x:v>
      </x:c>
      <x:c r="Q1240" s="83" t="n">
        <x:f>MAX($G$1238:$G$1243)-G1240</x:f>
        <x:v>0</x:v>
      </x:c>
      <x:c r="R1240" s="73" t="str">
        <x:f>INDEX(TrackMap!$B$8:$B$141,H1240)</x:f>
        <x:v>发车大直道</x:v>
      </x:c>
    </x:row>
    <x:row r="1241" ht="20" customHeight="1">
      <x:c r="A1241" s="73" t="n">
        <x:v>205</x:v>
      </x:c>
      <x:c r="B1241" s="73" t="n">
        <x:v>4</x:v>
      </x:c>
      <x:c r="C1241" s="73" t="str">
        <x:f>INDEX(Drivers!$B$8:$B$13,B1241)</x:f>
        <x:v>紫影</x:v>
      </x:c>
      <x:c r="D1241" s="83" t="n">
        <x:f>G1235</x:f>
        <x:v>670</x:v>
      </x:c>
      <x:c r="E1241" s="83" t="str">
        <x:f>IF(A1241=0,"GRID",IF(D1241&gt;=Control!$B$17,"FINISHED",IF(AND(A1241&gt;=INDEX(Drivers!$G$8:$G$13,B1241),A1241&lt;INDEX(Drivers!$G$8:$G$13,B1241)+INDEX(Drivers!$J$8:$J$13,B1241)),"PIT",IF(MOD(A1241+INDEX(Drivers!$F$8:$F$13,B1241),Control!$B$11)&lt;Control!$B$13,"BOOST","RACE"))))</x:f>
        <x:v>FINISHED</x:v>
      </x:c>
      <x:c r="F1241" s="83" t="n">
        <x:f>IF(OR(E1241="GRID",E1241="FINISHED",E1241="PIT"),0,MAX(Control!$B$15,(INDEX(Drivers!$D$8:$D$13,B1241)+INDEX(Drivers!$E$8:$E$13,B1241)*SIN((A1241+INDEX(Drivers!$F$8:$F$13,B1241)+Control!$B$16)*Control!$B$14))*INDEX(TrackMap!$M$8:$M$141,MOD(INT(D1241)-1,Control!$B$7)+1)*IF(E1241="BOOST",Control!$B$12,1)))</x:f>
        <x:v>0</x:v>
      </x:c>
      <x:c r="G1241" s="83" t="n">
        <x:f>IF(A1241=0,D1241,MIN(Control!$B$17,D1241+F1241))</x:f>
        <x:v>670</x:v>
      </x:c>
      <x:c r="H1241" s="73" t="n">
        <x:f>MOD(INT(G1241)-1,Control!$B$7)+1</x:f>
        <x:v>134</x:v>
      </x:c>
      <x:c r="I1241" s="73" t="n">
        <x:f>MIN(Control!$B$6,MAX(1,INT(MAX(0,G1241)/Control!$B$7)+1))</x:f>
        <x:v>5</x:v>
      </x:c>
      <x:c r="J1241" s="73" t="n">
        <x:f>INDEX(Drivers!$H$8:$H$13,B1241)</x:f>
        <x:v>2</x:v>
      </x:c>
      <x:c r="K1241" s="73" t="n">
        <x:f>IF(J1241=1,INDEX(TrackMap!$I$8:$I$141,H1241),INDEX(TrackMap!$L$8:$L$141,H1241))</x:f>
        <x:v>3017</x:v>
      </x:c>
      <x:c r="L1241" s="73" t="str">
        <x:f>INDEX(TrackMap!$F$8:$F$141,H1241)</x:f>
        <x:v>←</x:v>
      </x:c>
      <x:c r="M1241" s="87" t="n">
        <x:f>MAX(0,G1241/Control!$B$17)</x:f>
        <x:v>1</x:v>
      </x:c>
      <x:c r="N1241" s="73" t="n">
        <x:f>IF(N1235&gt;0,N1235,IF(G1241&gt;=Control!$B$17,A1241,0))</x:f>
        <x:v>198</x:v>
      </x:c>
      <x:c r="O1241" s="91" t="n">
        <x:f>IF(N1241&gt;0,Control!$B$17+Control!$B$8+1-N1241,G1241)-B1241/100000</x:f>
        <x:v>712.99996</x:v>
      </x:c>
      <x:c r="P1241" s="73" t="n">
        <x:f>COUNTIF($O$1238:$O$1243,"&gt;"&amp;O1241)+1</x:f>
        <x:v>5</x:v>
      </x:c>
      <x:c r="Q1241" s="83" t="n">
        <x:f>MAX($G$1238:$G$1243)-G1241</x:f>
        <x:v>0</x:v>
      </x:c>
      <x:c r="R1241" s="73" t="str">
        <x:f>INDEX(TrackMap!$B$8:$B$141,H1241)</x:f>
        <x:v>发车大直道</x:v>
      </x:c>
    </x:row>
    <x:row r="1242" ht="20" customHeight="1">
      <x:c r="A1242" s="73" t="n">
        <x:v>205</x:v>
      </x:c>
      <x:c r="B1242" s="73" t="n">
        <x:v>5</x:v>
      </x:c>
      <x:c r="C1242" s="73" t="str">
        <x:f>INDEX(Drivers!$B$8:$B$13,B1242)</x:f>
        <x:v>青锋</x:v>
      </x:c>
      <x:c r="D1242" s="83" t="n">
        <x:f>G1236</x:f>
        <x:v>670</x:v>
      </x:c>
      <x:c r="E1242" s="83" t="str">
        <x:f>IF(A1242=0,"GRID",IF(D1242&gt;=Control!$B$17,"FINISHED",IF(AND(A1242&gt;=INDEX(Drivers!$G$8:$G$13,B1242),A1242&lt;INDEX(Drivers!$G$8:$G$13,B1242)+INDEX(Drivers!$J$8:$J$13,B1242)),"PIT",IF(MOD(A1242+INDEX(Drivers!$F$8:$F$13,B1242),Control!$B$11)&lt;Control!$B$13,"BOOST","RACE"))))</x:f>
        <x:v>FINISHED</x:v>
      </x:c>
      <x:c r="F1242" s="83" t="n">
        <x:f>IF(OR(E1242="GRID",E1242="FINISHED",E1242="PIT"),0,MAX(Control!$B$15,(INDEX(Drivers!$D$8:$D$13,B1242)+INDEX(Drivers!$E$8:$E$13,B1242)*SIN((A1242+INDEX(Drivers!$F$8:$F$13,B1242)+Control!$B$16)*Control!$B$14))*INDEX(TrackMap!$M$8:$M$141,MOD(INT(D1242)-1,Control!$B$7)+1)*IF(E1242="BOOST",Control!$B$12,1)))</x:f>
        <x:v>0</x:v>
      </x:c>
      <x:c r="G1242" s="83" t="n">
        <x:f>IF(A1242=0,D1242,MIN(Control!$B$17,D1242+F1242))</x:f>
        <x:v>670</x:v>
      </x:c>
      <x:c r="H1242" s="73" t="n">
        <x:f>MOD(INT(G1242)-1,Control!$B$7)+1</x:f>
        <x:v>134</x:v>
      </x:c>
      <x:c r="I1242" s="73" t="n">
        <x:f>MIN(Control!$B$6,MAX(1,INT(MAX(0,G1242)/Control!$B$7)+1))</x:f>
        <x:v>5</x:v>
      </x:c>
      <x:c r="J1242" s="73" t="n">
        <x:f>INDEX(Drivers!$H$8:$H$13,B1242)</x:f>
        <x:v>1</x:v>
      </x:c>
      <x:c r="K1242" s="73" t="n">
        <x:f>IF(J1242=1,INDEX(TrackMap!$I$8:$I$141,H1242),INDEX(TrackMap!$L$8:$L$141,H1242))</x:f>
        <x:v>3117</x:v>
      </x:c>
      <x:c r="L1242" s="73" t="str">
        <x:f>INDEX(TrackMap!$F$8:$F$141,H1242)</x:f>
        <x:v>←</x:v>
      </x:c>
      <x:c r="M1242" s="87" t="n">
        <x:f>MAX(0,G1242/Control!$B$17)</x:f>
        <x:v>1</x:v>
      </x:c>
      <x:c r="N1242" s="73" t="n">
        <x:f>IF(N1236&gt;0,N1236,IF(G1242&gt;=Control!$B$17,A1242,0))</x:f>
        <x:v>195</x:v>
      </x:c>
      <x:c r="O1242" s="91" t="n">
        <x:f>IF(N1242&gt;0,Control!$B$17+Control!$B$8+1-N1242,G1242)-B1242/100000</x:f>
        <x:v>715.99995</x:v>
      </x:c>
      <x:c r="P1242" s="73" t="n">
        <x:f>COUNTIF($O$1238:$O$1243,"&gt;"&amp;O1242)+1</x:f>
        <x:v>3</x:v>
      </x:c>
      <x:c r="Q1242" s="83" t="n">
        <x:f>MAX($G$1238:$G$1243)-G1242</x:f>
        <x:v>0</x:v>
      </x:c>
      <x:c r="R1242" s="73" t="str">
        <x:f>INDEX(TrackMap!$B$8:$B$141,H1242)</x:f>
        <x:v>发车大直道</x:v>
      </x:c>
    </x:row>
    <x:row r="1243" ht="20" customHeight="1">
      <x:c r="A1243" s="73" t="n">
        <x:v>205</x:v>
      </x:c>
      <x:c r="B1243" s="73" t="n">
        <x:v>6</x:v>
      </x:c>
      <x:c r="C1243" s="73" t="str">
        <x:f>INDEX(Drivers!$B$8:$B$13,B1243)</x:f>
        <x:v>玫速</x:v>
      </x:c>
      <x:c r="D1243" s="83" t="n">
        <x:f>G1237</x:f>
        <x:v>670</x:v>
      </x:c>
      <x:c r="E1243" s="83" t="str">
        <x:f>IF(A1243=0,"GRID",IF(D1243&gt;=Control!$B$17,"FINISHED",IF(AND(A1243&gt;=INDEX(Drivers!$G$8:$G$13,B1243),A1243&lt;INDEX(Drivers!$G$8:$G$13,B1243)+INDEX(Drivers!$J$8:$J$13,B1243)),"PIT",IF(MOD(A1243+INDEX(Drivers!$F$8:$F$13,B1243),Control!$B$11)&lt;Control!$B$13,"BOOST","RACE"))))</x:f>
        <x:v>FINISHED</x:v>
      </x:c>
      <x:c r="F1243" s="83" t="n">
        <x:f>IF(OR(E1243="GRID",E1243="FINISHED",E1243="PIT"),0,MAX(Control!$B$15,(INDEX(Drivers!$D$8:$D$13,B1243)+INDEX(Drivers!$E$8:$E$13,B1243)*SIN((A1243+INDEX(Drivers!$F$8:$F$13,B1243)+Control!$B$16)*Control!$B$14))*INDEX(TrackMap!$M$8:$M$141,MOD(INT(D1243)-1,Control!$B$7)+1)*IF(E1243="BOOST",Control!$B$12,1)))</x:f>
        <x:v>0</x:v>
      </x:c>
      <x:c r="G1243" s="83" t="n">
        <x:f>IF(A1243=0,D1243,MIN(Control!$B$17,D1243+F1243))</x:f>
        <x:v>670</x:v>
      </x:c>
      <x:c r="H1243" s="73" t="n">
        <x:f>MOD(INT(G1243)-1,Control!$B$7)+1</x:f>
        <x:v>134</x:v>
      </x:c>
      <x:c r="I1243" s="73" t="n">
        <x:f>MIN(Control!$B$6,MAX(1,INT(MAX(0,G1243)/Control!$B$7)+1))</x:f>
        <x:v>5</x:v>
      </x:c>
      <x:c r="J1243" s="73" t="n">
        <x:f>INDEX(Drivers!$H$8:$H$13,B1243)</x:f>
        <x:v>2</x:v>
      </x:c>
      <x:c r="K1243" s="73" t="n">
        <x:f>IF(J1243=1,INDEX(TrackMap!$I$8:$I$141,H1243),INDEX(TrackMap!$L$8:$L$141,H1243))</x:f>
        <x:v>3017</x:v>
      </x:c>
      <x:c r="L1243" s="73" t="str">
        <x:f>INDEX(TrackMap!$F$8:$F$141,H1243)</x:f>
        <x:v>←</x:v>
      </x:c>
      <x:c r="M1243" s="87" t="n">
        <x:f>MAX(0,G1243/Control!$B$17)</x:f>
        <x:v>1</x:v>
      </x:c>
      <x:c r="N1243" s="73" t="n">
        <x:f>IF(N1237&gt;0,N1237,IF(G1243&gt;=Control!$B$17,A1243,0))</x:f>
        <x:v>196</x:v>
      </x:c>
      <x:c r="O1243" s="91" t="n">
        <x:f>IF(N1243&gt;0,Control!$B$17+Control!$B$8+1-N1243,G1243)-B1243/100000</x:f>
        <x:v>714.99994</x:v>
      </x:c>
      <x:c r="P1243" s="73" t="n">
        <x:f>COUNTIF($O$1238:$O$1243,"&gt;"&amp;O1243)+1</x:f>
        <x:v>4</x:v>
      </x:c>
      <x:c r="Q1243" s="83" t="n">
        <x:f>MAX($G$1238:$G$1243)-G1243</x:f>
        <x:v>0</x:v>
      </x:c>
      <x:c r="R1243" s="73" t="str">
        <x:f>INDEX(TrackMap!$B$8:$B$141,H1243)</x:f>
        <x:v>发车大直道</x:v>
      </x:c>
    </x:row>
    <x:row r="1244" ht="20" customHeight="1">
      <x:c r="A1244" s="73" t="n">
        <x:v>206</x:v>
      </x:c>
      <x:c r="B1244" s="73" t="n">
        <x:v>1</x:v>
      </x:c>
      <x:c r="C1244" s="73" t="str">
        <x:f>INDEX(Drivers!$B$8:$B$13,B1244)</x:f>
        <x:v>赤焰</x:v>
      </x:c>
      <x:c r="D1244" s="83" t="n">
        <x:f>G1238</x:f>
        <x:v>670</x:v>
      </x:c>
      <x:c r="E1244" s="83" t="str">
        <x:f>IF(A1244=0,"GRID",IF(D1244&gt;=Control!$B$17,"FINISHED",IF(AND(A1244&gt;=INDEX(Drivers!$G$8:$G$13,B1244),A1244&lt;INDEX(Drivers!$G$8:$G$13,B1244)+INDEX(Drivers!$J$8:$J$13,B1244)),"PIT",IF(MOD(A1244+INDEX(Drivers!$F$8:$F$13,B1244),Control!$B$11)&lt;Control!$B$13,"BOOST","RACE"))))</x:f>
        <x:v>FINISHED</x:v>
      </x:c>
      <x:c r="F1244" s="83" t="n">
        <x:f>IF(OR(E1244="GRID",E1244="FINISHED",E1244="PIT"),0,MAX(Control!$B$15,(INDEX(Drivers!$D$8:$D$13,B1244)+INDEX(Drivers!$E$8:$E$13,B1244)*SIN((A1244+INDEX(Drivers!$F$8:$F$13,B1244)+Control!$B$16)*Control!$B$14))*INDEX(TrackMap!$M$8:$M$141,MOD(INT(D1244)-1,Control!$B$7)+1)*IF(E1244="BOOST",Control!$B$12,1)))</x:f>
        <x:v>0</x:v>
      </x:c>
      <x:c r="G1244" s="83" t="n">
        <x:f>IF(A1244=0,D1244,MIN(Control!$B$17,D1244+F1244))</x:f>
        <x:v>670</x:v>
      </x:c>
      <x:c r="H1244" s="73" t="n">
        <x:f>MOD(INT(G1244)-1,Control!$B$7)+1</x:f>
        <x:v>134</x:v>
      </x:c>
      <x:c r="I1244" s="73" t="n">
        <x:f>MIN(Control!$B$6,MAX(1,INT(MAX(0,G1244)/Control!$B$7)+1))</x:f>
        <x:v>5</x:v>
      </x:c>
      <x:c r="J1244" s="73" t="n">
        <x:f>INDEX(Drivers!$H$8:$H$13,B1244)</x:f>
        <x:v>1</x:v>
      </x:c>
      <x:c r="K1244" s="73" t="n">
        <x:f>IF(J1244=1,INDEX(TrackMap!$I$8:$I$141,H1244),INDEX(TrackMap!$L$8:$L$141,H1244))</x:f>
        <x:v>3117</x:v>
      </x:c>
      <x:c r="L1244" s="73" t="str">
        <x:f>INDEX(TrackMap!$F$8:$F$141,H1244)</x:f>
        <x:v>←</x:v>
      </x:c>
      <x:c r="M1244" s="87" t="n">
        <x:f>MAX(0,G1244/Control!$B$17)</x:f>
        <x:v>1</x:v>
      </x:c>
      <x:c r="N1244" s="73" t="n">
        <x:f>IF(N1238&gt;0,N1238,IF(G1244&gt;=Control!$B$17,A1244,0))</x:f>
        <x:v>194</x:v>
      </x:c>
      <x:c r="O1244" s="91" t="n">
        <x:f>IF(N1244&gt;0,Control!$B$17+Control!$B$8+1-N1244,G1244)-B1244/100000</x:f>
        <x:v>716.99999</x:v>
      </x:c>
      <x:c r="P1244" s="73" t="n">
        <x:f>COUNTIF($O$1244:$O$1249,"&gt;"&amp;O1244)+1</x:f>
        <x:v>1</x:v>
      </x:c>
      <x:c r="Q1244" s="83" t="n">
        <x:f>MAX($G$1244:$G$1249)-G1244</x:f>
        <x:v>0</x:v>
      </x:c>
      <x:c r="R1244" s="73" t="str">
        <x:f>INDEX(TrackMap!$B$8:$B$141,H1244)</x:f>
        <x:v>发车大直道</x:v>
      </x:c>
    </x:row>
    <x:row r="1245" ht="20" customHeight="1">
      <x:c r="A1245" s="73" t="n">
        <x:v>206</x:v>
      </x:c>
      <x:c r="B1245" s="73" t="n">
        <x:v>2</x:v>
      </x:c>
      <x:c r="C1245" s="73" t="str">
        <x:f>INDEX(Drivers!$B$8:$B$13,B1245)</x:f>
        <x:v>蓝电</x:v>
      </x:c>
      <x:c r="D1245" s="83" t="n">
        <x:f>G1239</x:f>
        <x:v>670</x:v>
      </x:c>
      <x:c r="E1245" s="83" t="str">
        <x:f>IF(A1245=0,"GRID",IF(D1245&gt;=Control!$B$17,"FINISHED",IF(AND(A1245&gt;=INDEX(Drivers!$G$8:$G$13,B1245),A1245&lt;INDEX(Drivers!$G$8:$G$13,B1245)+INDEX(Drivers!$J$8:$J$13,B1245)),"PIT",IF(MOD(A1245+INDEX(Drivers!$F$8:$F$13,B1245),Control!$B$11)&lt;Control!$B$13,"BOOST","RACE"))))</x:f>
        <x:v>FINISHED</x:v>
      </x:c>
      <x:c r="F1245" s="83" t="n">
        <x:f>IF(OR(E1245="GRID",E1245="FINISHED",E1245="PIT"),0,MAX(Control!$B$15,(INDEX(Drivers!$D$8:$D$13,B1245)+INDEX(Drivers!$E$8:$E$13,B1245)*SIN((A1245+INDEX(Drivers!$F$8:$F$13,B1245)+Control!$B$16)*Control!$B$14))*INDEX(TrackMap!$M$8:$M$141,MOD(INT(D1245)-1,Control!$B$7)+1)*IF(E1245="BOOST",Control!$B$12,1)))</x:f>
        <x:v>0</x:v>
      </x:c>
      <x:c r="G1245" s="83" t="n">
        <x:f>IF(A1245=0,D1245,MIN(Control!$B$17,D1245+F1245))</x:f>
        <x:v>670</x:v>
      </x:c>
      <x:c r="H1245" s="73" t="n">
        <x:f>MOD(INT(G1245)-1,Control!$B$7)+1</x:f>
        <x:v>134</x:v>
      </x:c>
      <x:c r="I1245" s="73" t="n">
        <x:f>MIN(Control!$B$6,MAX(1,INT(MAX(0,G1245)/Control!$B$7)+1))</x:f>
        <x:v>5</x:v>
      </x:c>
      <x:c r="J1245" s="73" t="n">
        <x:f>INDEX(Drivers!$H$8:$H$13,B1245)</x:f>
        <x:v>2</x:v>
      </x:c>
      <x:c r="K1245" s="73" t="n">
        <x:f>IF(J1245=1,INDEX(TrackMap!$I$8:$I$141,H1245),INDEX(TrackMap!$L$8:$L$141,H1245))</x:f>
        <x:v>3017</x:v>
      </x:c>
      <x:c r="L1245" s="73" t="str">
        <x:f>INDEX(TrackMap!$F$8:$F$141,H1245)</x:f>
        <x:v>←</x:v>
      </x:c>
      <x:c r="M1245" s="87" t="n">
        <x:f>MAX(0,G1245/Control!$B$17)</x:f>
        <x:v>1</x:v>
      </x:c>
      <x:c r="N1245" s="73" t="n">
        <x:f>IF(N1239&gt;0,N1239,IF(G1245&gt;=Control!$B$17,A1245,0))</x:f>
        <x:v>201</x:v>
      </x:c>
      <x:c r="O1245" s="91" t="n">
        <x:f>IF(N1245&gt;0,Control!$B$17+Control!$B$8+1-N1245,G1245)-B1245/100000</x:f>
        <x:v>709.99998</x:v>
      </x:c>
      <x:c r="P1245" s="73" t="n">
        <x:f>COUNTIF($O$1244:$O$1249,"&gt;"&amp;O1245)+1</x:f>
        <x:v>6</x:v>
      </x:c>
      <x:c r="Q1245" s="83" t="n">
        <x:f>MAX($G$1244:$G$1249)-G1245</x:f>
        <x:v>0</x:v>
      </x:c>
      <x:c r="R1245" s="73" t="str">
        <x:f>INDEX(TrackMap!$B$8:$B$141,H1245)</x:f>
        <x:v>发车大直道</x:v>
      </x:c>
    </x:row>
    <x:row r="1246" ht="20" customHeight="1">
      <x:c r="A1246" s="73" t="n">
        <x:v>206</x:v>
      </x:c>
      <x:c r="B1246" s="73" t="n">
        <x:v>3</x:v>
      </x:c>
      <x:c r="C1246" s="73" t="str">
        <x:f>INDEX(Drivers!$B$8:$B$13,B1246)</x:f>
        <x:v>金翼</x:v>
      </x:c>
      <x:c r="D1246" s="83" t="n">
        <x:f>G1240</x:f>
        <x:v>670</x:v>
      </x:c>
      <x:c r="E1246" s="83" t="str">
        <x:f>IF(A1246=0,"GRID",IF(D1246&gt;=Control!$B$17,"FINISHED",IF(AND(A1246&gt;=INDEX(Drivers!$G$8:$G$13,B1246),A1246&lt;INDEX(Drivers!$G$8:$G$13,B1246)+INDEX(Drivers!$J$8:$J$13,B1246)),"PIT",IF(MOD(A1246+INDEX(Drivers!$F$8:$F$13,B1246),Control!$B$11)&lt;Control!$B$13,"BOOST","RACE"))))</x:f>
        <x:v>FINISHED</x:v>
      </x:c>
      <x:c r="F1246" s="83" t="n">
        <x:f>IF(OR(E1246="GRID",E1246="FINISHED",E1246="PIT"),0,MAX(Control!$B$15,(INDEX(Drivers!$D$8:$D$13,B1246)+INDEX(Drivers!$E$8:$E$13,B1246)*SIN((A1246+INDEX(Drivers!$F$8:$F$13,B1246)+Control!$B$16)*Control!$B$14))*INDEX(TrackMap!$M$8:$M$141,MOD(INT(D1246)-1,Control!$B$7)+1)*IF(E1246="BOOST",Control!$B$12,1)))</x:f>
        <x:v>0</x:v>
      </x:c>
      <x:c r="G1246" s="83" t="n">
        <x:f>IF(A1246=0,D1246,MIN(Control!$B$17,D1246+F1246))</x:f>
        <x:v>670</x:v>
      </x:c>
      <x:c r="H1246" s="73" t="n">
        <x:f>MOD(INT(G1246)-1,Control!$B$7)+1</x:f>
        <x:v>134</x:v>
      </x:c>
      <x:c r="I1246" s="73" t="n">
        <x:f>MIN(Control!$B$6,MAX(1,INT(MAX(0,G1246)/Control!$B$7)+1))</x:f>
        <x:v>5</x:v>
      </x:c>
      <x:c r="J1246" s="73" t="n">
        <x:f>INDEX(Drivers!$H$8:$H$13,B1246)</x:f>
        <x:v>1</x:v>
      </x:c>
      <x:c r="K1246" s="73" t="n">
        <x:f>IF(J1246=1,INDEX(TrackMap!$I$8:$I$141,H1246),INDEX(TrackMap!$L$8:$L$141,H1246))</x:f>
        <x:v>3117</x:v>
      </x:c>
      <x:c r="L1246" s="73" t="str">
        <x:f>INDEX(TrackMap!$F$8:$F$141,H1246)</x:f>
        <x:v>←</x:v>
      </x:c>
      <x:c r="M1246" s="87" t="n">
        <x:f>MAX(0,G1246/Control!$B$17)</x:f>
        <x:v>1</x:v>
      </x:c>
      <x:c r="N1246" s="73" t="n">
        <x:f>IF(N1240&gt;0,N1240,IF(G1246&gt;=Control!$B$17,A1246,0))</x:f>
        <x:v>195</x:v>
      </x:c>
      <x:c r="O1246" s="91" t="n">
        <x:f>IF(N1246&gt;0,Control!$B$17+Control!$B$8+1-N1246,G1246)-B1246/100000</x:f>
        <x:v>715.99997</x:v>
      </x:c>
      <x:c r="P1246" s="73" t="n">
        <x:f>COUNTIF($O$1244:$O$1249,"&gt;"&amp;O1246)+1</x:f>
        <x:v>2</x:v>
      </x:c>
      <x:c r="Q1246" s="83" t="n">
        <x:f>MAX($G$1244:$G$1249)-G1246</x:f>
        <x:v>0</x:v>
      </x:c>
      <x:c r="R1246" s="73" t="str">
        <x:f>INDEX(TrackMap!$B$8:$B$141,H1246)</x:f>
        <x:v>发车大直道</x:v>
      </x:c>
    </x:row>
    <x:row r="1247" ht="20" customHeight="1">
      <x:c r="A1247" s="73" t="n">
        <x:v>206</x:v>
      </x:c>
      <x:c r="B1247" s="73" t="n">
        <x:v>4</x:v>
      </x:c>
      <x:c r="C1247" s="73" t="str">
        <x:f>INDEX(Drivers!$B$8:$B$13,B1247)</x:f>
        <x:v>紫影</x:v>
      </x:c>
      <x:c r="D1247" s="83" t="n">
        <x:f>G1241</x:f>
        <x:v>670</x:v>
      </x:c>
      <x:c r="E1247" s="83" t="str">
        <x:f>IF(A1247=0,"GRID",IF(D1247&gt;=Control!$B$17,"FINISHED",IF(AND(A1247&gt;=INDEX(Drivers!$G$8:$G$13,B1247),A1247&lt;INDEX(Drivers!$G$8:$G$13,B1247)+INDEX(Drivers!$J$8:$J$13,B1247)),"PIT",IF(MOD(A1247+INDEX(Drivers!$F$8:$F$13,B1247),Control!$B$11)&lt;Control!$B$13,"BOOST","RACE"))))</x:f>
        <x:v>FINISHED</x:v>
      </x:c>
      <x:c r="F1247" s="83" t="n">
        <x:f>IF(OR(E1247="GRID",E1247="FINISHED",E1247="PIT"),0,MAX(Control!$B$15,(INDEX(Drivers!$D$8:$D$13,B1247)+INDEX(Drivers!$E$8:$E$13,B1247)*SIN((A1247+INDEX(Drivers!$F$8:$F$13,B1247)+Control!$B$16)*Control!$B$14))*INDEX(TrackMap!$M$8:$M$141,MOD(INT(D1247)-1,Control!$B$7)+1)*IF(E1247="BOOST",Control!$B$12,1)))</x:f>
        <x:v>0</x:v>
      </x:c>
      <x:c r="G1247" s="83" t="n">
        <x:f>IF(A1247=0,D1247,MIN(Control!$B$17,D1247+F1247))</x:f>
        <x:v>670</x:v>
      </x:c>
      <x:c r="H1247" s="73" t="n">
        <x:f>MOD(INT(G1247)-1,Control!$B$7)+1</x:f>
        <x:v>134</x:v>
      </x:c>
      <x:c r="I1247" s="73" t="n">
        <x:f>MIN(Control!$B$6,MAX(1,INT(MAX(0,G1247)/Control!$B$7)+1))</x:f>
        <x:v>5</x:v>
      </x:c>
      <x:c r="J1247" s="73" t="n">
        <x:f>INDEX(Drivers!$H$8:$H$13,B1247)</x:f>
        <x:v>2</x:v>
      </x:c>
      <x:c r="K1247" s="73" t="n">
        <x:f>IF(J1247=1,INDEX(TrackMap!$I$8:$I$141,H1247),INDEX(TrackMap!$L$8:$L$141,H1247))</x:f>
        <x:v>3017</x:v>
      </x:c>
      <x:c r="L1247" s="73" t="str">
        <x:f>INDEX(TrackMap!$F$8:$F$141,H1247)</x:f>
        <x:v>←</x:v>
      </x:c>
      <x:c r="M1247" s="87" t="n">
        <x:f>MAX(0,G1247/Control!$B$17)</x:f>
        <x:v>1</x:v>
      </x:c>
      <x:c r="N1247" s="73" t="n">
        <x:f>IF(N1241&gt;0,N1241,IF(G1247&gt;=Control!$B$17,A1247,0))</x:f>
        <x:v>198</x:v>
      </x:c>
      <x:c r="O1247" s="91" t="n">
        <x:f>IF(N1247&gt;0,Control!$B$17+Control!$B$8+1-N1247,G1247)-B1247/100000</x:f>
        <x:v>712.99996</x:v>
      </x:c>
      <x:c r="P1247" s="73" t="n">
        <x:f>COUNTIF($O$1244:$O$1249,"&gt;"&amp;O1247)+1</x:f>
        <x:v>5</x:v>
      </x:c>
      <x:c r="Q1247" s="83" t="n">
        <x:f>MAX($G$1244:$G$1249)-G1247</x:f>
        <x:v>0</x:v>
      </x:c>
      <x:c r="R1247" s="73" t="str">
        <x:f>INDEX(TrackMap!$B$8:$B$141,H1247)</x:f>
        <x:v>发车大直道</x:v>
      </x:c>
    </x:row>
    <x:row r="1248" ht="20" customHeight="1">
      <x:c r="A1248" s="73" t="n">
        <x:v>206</x:v>
      </x:c>
      <x:c r="B1248" s="73" t="n">
        <x:v>5</x:v>
      </x:c>
      <x:c r="C1248" s="73" t="str">
        <x:f>INDEX(Drivers!$B$8:$B$13,B1248)</x:f>
        <x:v>青锋</x:v>
      </x:c>
      <x:c r="D1248" s="83" t="n">
        <x:f>G1242</x:f>
        <x:v>670</x:v>
      </x:c>
      <x:c r="E1248" s="83" t="str">
        <x:f>IF(A1248=0,"GRID",IF(D1248&gt;=Control!$B$17,"FINISHED",IF(AND(A1248&gt;=INDEX(Drivers!$G$8:$G$13,B1248),A1248&lt;INDEX(Drivers!$G$8:$G$13,B1248)+INDEX(Drivers!$J$8:$J$13,B1248)),"PIT",IF(MOD(A1248+INDEX(Drivers!$F$8:$F$13,B1248),Control!$B$11)&lt;Control!$B$13,"BOOST","RACE"))))</x:f>
        <x:v>FINISHED</x:v>
      </x:c>
      <x:c r="F1248" s="83" t="n">
        <x:f>IF(OR(E1248="GRID",E1248="FINISHED",E1248="PIT"),0,MAX(Control!$B$15,(INDEX(Drivers!$D$8:$D$13,B1248)+INDEX(Drivers!$E$8:$E$13,B1248)*SIN((A1248+INDEX(Drivers!$F$8:$F$13,B1248)+Control!$B$16)*Control!$B$14))*INDEX(TrackMap!$M$8:$M$141,MOD(INT(D1248)-1,Control!$B$7)+1)*IF(E1248="BOOST",Control!$B$12,1)))</x:f>
        <x:v>0</x:v>
      </x:c>
      <x:c r="G1248" s="83" t="n">
        <x:f>IF(A1248=0,D1248,MIN(Control!$B$17,D1248+F1248))</x:f>
        <x:v>670</x:v>
      </x:c>
      <x:c r="H1248" s="73" t="n">
        <x:f>MOD(INT(G1248)-1,Control!$B$7)+1</x:f>
        <x:v>134</x:v>
      </x:c>
      <x:c r="I1248" s="73" t="n">
        <x:f>MIN(Control!$B$6,MAX(1,INT(MAX(0,G1248)/Control!$B$7)+1))</x:f>
        <x:v>5</x:v>
      </x:c>
      <x:c r="J1248" s="73" t="n">
        <x:f>INDEX(Drivers!$H$8:$H$13,B1248)</x:f>
        <x:v>1</x:v>
      </x:c>
      <x:c r="K1248" s="73" t="n">
        <x:f>IF(J1248=1,INDEX(TrackMap!$I$8:$I$141,H1248),INDEX(TrackMap!$L$8:$L$141,H1248))</x:f>
        <x:v>3117</x:v>
      </x:c>
      <x:c r="L1248" s="73" t="str">
        <x:f>INDEX(TrackMap!$F$8:$F$141,H1248)</x:f>
        <x:v>←</x:v>
      </x:c>
      <x:c r="M1248" s="87" t="n">
        <x:f>MAX(0,G1248/Control!$B$17)</x:f>
        <x:v>1</x:v>
      </x:c>
      <x:c r="N1248" s="73" t="n">
        <x:f>IF(N1242&gt;0,N1242,IF(G1248&gt;=Control!$B$17,A1248,0))</x:f>
        <x:v>195</x:v>
      </x:c>
      <x:c r="O1248" s="91" t="n">
        <x:f>IF(N1248&gt;0,Control!$B$17+Control!$B$8+1-N1248,G1248)-B1248/100000</x:f>
        <x:v>715.99995</x:v>
      </x:c>
      <x:c r="P1248" s="73" t="n">
        <x:f>COUNTIF($O$1244:$O$1249,"&gt;"&amp;O1248)+1</x:f>
        <x:v>3</x:v>
      </x:c>
      <x:c r="Q1248" s="83" t="n">
        <x:f>MAX($G$1244:$G$1249)-G1248</x:f>
        <x:v>0</x:v>
      </x:c>
      <x:c r="R1248" s="73" t="str">
        <x:f>INDEX(TrackMap!$B$8:$B$141,H1248)</x:f>
        <x:v>发车大直道</x:v>
      </x:c>
    </x:row>
    <x:row r="1249" ht="20" customHeight="1">
      <x:c r="A1249" s="73" t="n">
        <x:v>206</x:v>
      </x:c>
      <x:c r="B1249" s="73" t="n">
        <x:v>6</x:v>
      </x:c>
      <x:c r="C1249" s="73" t="str">
        <x:f>INDEX(Drivers!$B$8:$B$13,B1249)</x:f>
        <x:v>玫速</x:v>
      </x:c>
      <x:c r="D1249" s="83" t="n">
        <x:f>G1243</x:f>
        <x:v>670</x:v>
      </x:c>
      <x:c r="E1249" s="83" t="str">
        <x:f>IF(A1249=0,"GRID",IF(D1249&gt;=Control!$B$17,"FINISHED",IF(AND(A1249&gt;=INDEX(Drivers!$G$8:$G$13,B1249),A1249&lt;INDEX(Drivers!$G$8:$G$13,B1249)+INDEX(Drivers!$J$8:$J$13,B1249)),"PIT",IF(MOD(A1249+INDEX(Drivers!$F$8:$F$13,B1249),Control!$B$11)&lt;Control!$B$13,"BOOST","RACE"))))</x:f>
        <x:v>FINISHED</x:v>
      </x:c>
      <x:c r="F1249" s="83" t="n">
        <x:f>IF(OR(E1249="GRID",E1249="FINISHED",E1249="PIT"),0,MAX(Control!$B$15,(INDEX(Drivers!$D$8:$D$13,B1249)+INDEX(Drivers!$E$8:$E$13,B1249)*SIN((A1249+INDEX(Drivers!$F$8:$F$13,B1249)+Control!$B$16)*Control!$B$14))*INDEX(TrackMap!$M$8:$M$141,MOD(INT(D1249)-1,Control!$B$7)+1)*IF(E1249="BOOST",Control!$B$12,1)))</x:f>
        <x:v>0</x:v>
      </x:c>
      <x:c r="G1249" s="83" t="n">
        <x:f>IF(A1249=0,D1249,MIN(Control!$B$17,D1249+F1249))</x:f>
        <x:v>670</x:v>
      </x:c>
      <x:c r="H1249" s="73" t="n">
        <x:f>MOD(INT(G1249)-1,Control!$B$7)+1</x:f>
        <x:v>134</x:v>
      </x:c>
      <x:c r="I1249" s="73" t="n">
        <x:f>MIN(Control!$B$6,MAX(1,INT(MAX(0,G1249)/Control!$B$7)+1))</x:f>
        <x:v>5</x:v>
      </x:c>
      <x:c r="J1249" s="73" t="n">
        <x:f>INDEX(Drivers!$H$8:$H$13,B1249)</x:f>
        <x:v>2</x:v>
      </x:c>
      <x:c r="K1249" s="73" t="n">
        <x:f>IF(J1249=1,INDEX(TrackMap!$I$8:$I$141,H1249),INDEX(TrackMap!$L$8:$L$141,H1249))</x:f>
        <x:v>3017</x:v>
      </x:c>
      <x:c r="L1249" s="73" t="str">
        <x:f>INDEX(TrackMap!$F$8:$F$141,H1249)</x:f>
        <x:v>←</x:v>
      </x:c>
      <x:c r="M1249" s="87" t="n">
        <x:f>MAX(0,G1249/Control!$B$17)</x:f>
        <x:v>1</x:v>
      </x:c>
      <x:c r="N1249" s="73" t="n">
        <x:f>IF(N1243&gt;0,N1243,IF(G1249&gt;=Control!$B$17,A1249,0))</x:f>
        <x:v>196</x:v>
      </x:c>
      <x:c r="O1249" s="91" t="n">
        <x:f>IF(N1249&gt;0,Control!$B$17+Control!$B$8+1-N1249,G1249)-B1249/100000</x:f>
        <x:v>714.99994</x:v>
      </x:c>
      <x:c r="P1249" s="73" t="n">
        <x:f>COUNTIF($O$1244:$O$1249,"&gt;"&amp;O1249)+1</x:f>
        <x:v>4</x:v>
      </x:c>
      <x:c r="Q1249" s="83" t="n">
        <x:f>MAX($G$1244:$G$1249)-G1249</x:f>
        <x:v>0</x:v>
      </x:c>
      <x:c r="R1249" s="73" t="str">
        <x:f>INDEX(TrackMap!$B$8:$B$141,H1249)</x:f>
        <x:v>发车大直道</x:v>
      </x:c>
    </x:row>
    <x:row r="1250" ht="20" customHeight="1">
      <x:c r="A1250" s="73" t="n">
        <x:v>207</x:v>
      </x:c>
      <x:c r="B1250" s="73" t="n">
        <x:v>1</x:v>
      </x:c>
      <x:c r="C1250" s="73" t="str">
        <x:f>INDEX(Drivers!$B$8:$B$13,B1250)</x:f>
        <x:v>赤焰</x:v>
      </x:c>
      <x:c r="D1250" s="83" t="n">
        <x:f>G1244</x:f>
        <x:v>670</x:v>
      </x:c>
      <x:c r="E1250" s="83" t="str">
        <x:f>IF(A1250=0,"GRID",IF(D1250&gt;=Control!$B$17,"FINISHED",IF(AND(A1250&gt;=INDEX(Drivers!$G$8:$G$13,B1250),A1250&lt;INDEX(Drivers!$G$8:$G$13,B1250)+INDEX(Drivers!$J$8:$J$13,B1250)),"PIT",IF(MOD(A1250+INDEX(Drivers!$F$8:$F$13,B1250),Control!$B$11)&lt;Control!$B$13,"BOOST","RACE"))))</x:f>
        <x:v>FINISHED</x:v>
      </x:c>
      <x:c r="F1250" s="83" t="n">
        <x:f>IF(OR(E1250="GRID",E1250="FINISHED",E1250="PIT"),0,MAX(Control!$B$15,(INDEX(Drivers!$D$8:$D$13,B1250)+INDEX(Drivers!$E$8:$E$13,B1250)*SIN((A1250+INDEX(Drivers!$F$8:$F$13,B1250)+Control!$B$16)*Control!$B$14))*INDEX(TrackMap!$M$8:$M$141,MOD(INT(D1250)-1,Control!$B$7)+1)*IF(E1250="BOOST",Control!$B$12,1)))</x:f>
        <x:v>0</x:v>
      </x:c>
      <x:c r="G1250" s="83" t="n">
        <x:f>IF(A1250=0,D1250,MIN(Control!$B$17,D1250+F1250))</x:f>
        <x:v>670</x:v>
      </x:c>
      <x:c r="H1250" s="73" t="n">
        <x:f>MOD(INT(G1250)-1,Control!$B$7)+1</x:f>
        <x:v>134</x:v>
      </x:c>
      <x:c r="I1250" s="73" t="n">
        <x:f>MIN(Control!$B$6,MAX(1,INT(MAX(0,G1250)/Control!$B$7)+1))</x:f>
        <x:v>5</x:v>
      </x:c>
      <x:c r="J1250" s="73" t="n">
        <x:f>INDEX(Drivers!$H$8:$H$13,B1250)</x:f>
        <x:v>1</x:v>
      </x:c>
      <x:c r="K1250" s="73" t="n">
        <x:f>IF(J1250=1,INDEX(TrackMap!$I$8:$I$141,H1250),INDEX(TrackMap!$L$8:$L$141,H1250))</x:f>
        <x:v>3117</x:v>
      </x:c>
      <x:c r="L1250" s="73" t="str">
        <x:f>INDEX(TrackMap!$F$8:$F$141,H1250)</x:f>
        <x:v>←</x:v>
      </x:c>
      <x:c r="M1250" s="87" t="n">
        <x:f>MAX(0,G1250/Control!$B$17)</x:f>
        <x:v>1</x:v>
      </x:c>
      <x:c r="N1250" s="73" t="n">
        <x:f>IF(N1244&gt;0,N1244,IF(G1250&gt;=Control!$B$17,A1250,0))</x:f>
        <x:v>194</x:v>
      </x:c>
      <x:c r="O1250" s="91" t="n">
        <x:f>IF(N1250&gt;0,Control!$B$17+Control!$B$8+1-N1250,G1250)-B1250/100000</x:f>
        <x:v>716.99999</x:v>
      </x:c>
      <x:c r="P1250" s="73" t="n">
        <x:f>COUNTIF($O$1250:$O$1255,"&gt;"&amp;O1250)+1</x:f>
        <x:v>1</x:v>
      </x:c>
      <x:c r="Q1250" s="83" t="n">
        <x:f>MAX($G$1250:$G$1255)-G1250</x:f>
        <x:v>0</x:v>
      </x:c>
      <x:c r="R1250" s="73" t="str">
        <x:f>INDEX(TrackMap!$B$8:$B$141,H1250)</x:f>
        <x:v>发车大直道</x:v>
      </x:c>
    </x:row>
    <x:row r="1251" ht="20" customHeight="1">
      <x:c r="A1251" s="73" t="n">
        <x:v>207</x:v>
      </x:c>
      <x:c r="B1251" s="73" t="n">
        <x:v>2</x:v>
      </x:c>
      <x:c r="C1251" s="73" t="str">
        <x:f>INDEX(Drivers!$B$8:$B$13,B1251)</x:f>
        <x:v>蓝电</x:v>
      </x:c>
      <x:c r="D1251" s="83" t="n">
        <x:f>G1245</x:f>
        <x:v>670</x:v>
      </x:c>
      <x:c r="E1251" s="83" t="str">
        <x:f>IF(A1251=0,"GRID",IF(D1251&gt;=Control!$B$17,"FINISHED",IF(AND(A1251&gt;=INDEX(Drivers!$G$8:$G$13,B1251),A1251&lt;INDEX(Drivers!$G$8:$G$13,B1251)+INDEX(Drivers!$J$8:$J$13,B1251)),"PIT",IF(MOD(A1251+INDEX(Drivers!$F$8:$F$13,B1251),Control!$B$11)&lt;Control!$B$13,"BOOST","RACE"))))</x:f>
        <x:v>FINISHED</x:v>
      </x:c>
      <x:c r="F1251" s="83" t="n">
        <x:f>IF(OR(E1251="GRID",E1251="FINISHED",E1251="PIT"),0,MAX(Control!$B$15,(INDEX(Drivers!$D$8:$D$13,B1251)+INDEX(Drivers!$E$8:$E$13,B1251)*SIN((A1251+INDEX(Drivers!$F$8:$F$13,B1251)+Control!$B$16)*Control!$B$14))*INDEX(TrackMap!$M$8:$M$141,MOD(INT(D1251)-1,Control!$B$7)+1)*IF(E1251="BOOST",Control!$B$12,1)))</x:f>
        <x:v>0</x:v>
      </x:c>
      <x:c r="G1251" s="83" t="n">
        <x:f>IF(A1251=0,D1251,MIN(Control!$B$17,D1251+F1251))</x:f>
        <x:v>670</x:v>
      </x:c>
      <x:c r="H1251" s="73" t="n">
        <x:f>MOD(INT(G1251)-1,Control!$B$7)+1</x:f>
        <x:v>134</x:v>
      </x:c>
      <x:c r="I1251" s="73" t="n">
        <x:f>MIN(Control!$B$6,MAX(1,INT(MAX(0,G1251)/Control!$B$7)+1))</x:f>
        <x:v>5</x:v>
      </x:c>
      <x:c r="J1251" s="73" t="n">
        <x:f>INDEX(Drivers!$H$8:$H$13,B1251)</x:f>
        <x:v>2</x:v>
      </x:c>
      <x:c r="K1251" s="73" t="n">
        <x:f>IF(J1251=1,INDEX(TrackMap!$I$8:$I$141,H1251),INDEX(TrackMap!$L$8:$L$141,H1251))</x:f>
        <x:v>3017</x:v>
      </x:c>
      <x:c r="L1251" s="73" t="str">
        <x:f>INDEX(TrackMap!$F$8:$F$141,H1251)</x:f>
        <x:v>←</x:v>
      </x:c>
      <x:c r="M1251" s="87" t="n">
        <x:f>MAX(0,G1251/Control!$B$17)</x:f>
        <x:v>1</x:v>
      </x:c>
      <x:c r="N1251" s="73" t="n">
        <x:f>IF(N1245&gt;0,N1245,IF(G1251&gt;=Control!$B$17,A1251,0))</x:f>
        <x:v>201</x:v>
      </x:c>
      <x:c r="O1251" s="91" t="n">
        <x:f>IF(N1251&gt;0,Control!$B$17+Control!$B$8+1-N1251,G1251)-B1251/100000</x:f>
        <x:v>709.99998</x:v>
      </x:c>
      <x:c r="P1251" s="73" t="n">
        <x:f>COUNTIF($O$1250:$O$1255,"&gt;"&amp;O1251)+1</x:f>
        <x:v>6</x:v>
      </x:c>
      <x:c r="Q1251" s="83" t="n">
        <x:f>MAX($G$1250:$G$1255)-G1251</x:f>
        <x:v>0</x:v>
      </x:c>
      <x:c r="R1251" s="73" t="str">
        <x:f>INDEX(TrackMap!$B$8:$B$141,H1251)</x:f>
        <x:v>发车大直道</x:v>
      </x:c>
    </x:row>
    <x:row r="1252" ht="20" customHeight="1">
      <x:c r="A1252" s="73" t="n">
        <x:v>207</x:v>
      </x:c>
      <x:c r="B1252" s="73" t="n">
        <x:v>3</x:v>
      </x:c>
      <x:c r="C1252" s="73" t="str">
        <x:f>INDEX(Drivers!$B$8:$B$13,B1252)</x:f>
        <x:v>金翼</x:v>
      </x:c>
      <x:c r="D1252" s="83" t="n">
        <x:f>G1246</x:f>
        <x:v>670</x:v>
      </x:c>
      <x:c r="E1252" s="83" t="str">
        <x:f>IF(A1252=0,"GRID",IF(D1252&gt;=Control!$B$17,"FINISHED",IF(AND(A1252&gt;=INDEX(Drivers!$G$8:$G$13,B1252),A1252&lt;INDEX(Drivers!$G$8:$G$13,B1252)+INDEX(Drivers!$J$8:$J$13,B1252)),"PIT",IF(MOD(A1252+INDEX(Drivers!$F$8:$F$13,B1252),Control!$B$11)&lt;Control!$B$13,"BOOST","RACE"))))</x:f>
        <x:v>FINISHED</x:v>
      </x:c>
      <x:c r="F1252" s="83" t="n">
        <x:f>IF(OR(E1252="GRID",E1252="FINISHED",E1252="PIT"),0,MAX(Control!$B$15,(INDEX(Drivers!$D$8:$D$13,B1252)+INDEX(Drivers!$E$8:$E$13,B1252)*SIN((A1252+INDEX(Drivers!$F$8:$F$13,B1252)+Control!$B$16)*Control!$B$14))*INDEX(TrackMap!$M$8:$M$141,MOD(INT(D1252)-1,Control!$B$7)+1)*IF(E1252="BOOST",Control!$B$12,1)))</x:f>
        <x:v>0</x:v>
      </x:c>
      <x:c r="G1252" s="83" t="n">
        <x:f>IF(A1252=0,D1252,MIN(Control!$B$17,D1252+F1252))</x:f>
        <x:v>670</x:v>
      </x:c>
      <x:c r="H1252" s="73" t="n">
        <x:f>MOD(INT(G1252)-1,Control!$B$7)+1</x:f>
        <x:v>134</x:v>
      </x:c>
      <x:c r="I1252" s="73" t="n">
        <x:f>MIN(Control!$B$6,MAX(1,INT(MAX(0,G1252)/Control!$B$7)+1))</x:f>
        <x:v>5</x:v>
      </x:c>
      <x:c r="J1252" s="73" t="n">
        <x:f>INDEX(Drivers!$H$8:$H$13,B1252)</x:f>
        <x:v>1</x:v>
      </x:c>
      <x:c r="K1252" s="73" t="n">
        <x:f>IF(J1252=1,INDEX(TrackMap!$I$8:$I$141,H1252),INDEX(TrackMap!$L$8:$L$141,H1252))</x:f>
        <x:v>3117</x:v>
      </x:c>
      <x:c r="L1252" s="73" t="str">
        <x:f>INDEX(TrackMap!$F$8:$F$141,H1252)</x:f>
        <x:v>←</x:v>
      </x:c>
      <x:c r="M1252" s="87" t="n">
        <x:f>MAX(0,G1252/Control!$B$17)</x:f>
        <x:v>1</x:v>
      </x:c>
      <x:c r="N1252" s="73" t="n">
        <x:f>IF(N1246&gt;0,N1246,IF(G1252&gt;=Control!$B$17,A1252,0))</x:f>
        <x:v>195</x:v>
      </x:c>
      <x:c r="O1252" s="91" t="n">
        <x:f>IF(N1252&gt;0,Control!$B$17+Control!$B$8+1-N1252,G1252)-B1252/100000</x:f>
        <x:v>715.99997</x:v>
      </x:c>
      <x:c r="P1252" s="73" t="n">
        <x:f>COUNTIF($O$1250:$O$1255,"&gt;"&amp;O1252)+1</x:f>
        <x:v>2</x:v>
      </x:c>
      <x:c r="Q1252" s="83" t="n">
        <x:f>MAX($G$1250:$G$1255)-G1252</x:f>
        <x:v>0</x:v>
      </x:c>
      <x:c r="R1252" s="73" t="str">
        <x:f>INDEX(TrackMap!$B$8:$B$141,H1252)</x:f>
        <x:v>发车大直道</x:v>
      </x:c>
    </x:row>
    <x:row r="1253" ht="20" customHeight="1">
      <x:c r="A1253" s="73" t="n">
        <x:v>207</x:v>
      </x:c>
      <x:c r="B1253" s="73" t="n">
        <x:v>4</x:v>
      </x:c>
      <x:c r="C1253" s="73" t="str">
        <x:f>INDEX(Drivers!$B$8:$B$13,B1253)</x:f>
        <x:v>紫影</x:v>
      </x:c>
      <x:c r="D1253" s="83" t="n">
        <x:f>G1247</x:f>
        <x:v>670</x:v>
      </x:c>
      <x:c r="E1253" s="83" t="str">
        <x:f>IF(A1253=0,"GRID",IF(D1253&gt;=Control!$B$17,"FINISHED",IF(AND(A1253&gt;=INDEX(Drivers!$G$8:$G$13,B1253),A1253&lt;INDEX(Drivers!$G$8:$G$13,B1253)+INDEX(Drivers!$J$8:$J$13,B1253)),"PIT",IF(MOD(A1253+INDEX(Drivers!$F$8:$F$13,B1253),Control!$B$11)&lt;Control!$B$13,"BOOST","RACE"))))</x:f>
        <x:v>FINISHED</x:v>
      </x:c>
      <x:c r="F1253" s="83" t="n">
        <x:f>IF(OR(E1253="GRID",E1253="FINISHED",E1253="PIT"),0,MAX(Control!$B$15,(INDEX(Drivers!$D$8:$D$13,B1253)+INDEX(Drivers!$E$8:$E$13,B1253)*SIN((A1253+INDEX(Drivers!$F$8:$F$13,B1253)+Control!$B$16)*Control!$B$14))*INDEX(TrackMap!$M$8:$M$141,MOD(INT(D1253)-1,Control!$B$7)+1)*IF(E1253="BOOST",Control!$B$12,1)))</x:f>
        <x:v>0</x:v>
      </x:c>
      <x:c r="G1253" s="83" t="n">
        <x:f>IF(A1253=0,D1253,MIN(Control!$B$17,D1253+F1253))</x:f>
        <x:v>670</x:v>
      </x:c>
      <x:c r="H1253" s="73" t="n">
        <x:f>MOD(INT(G1253)-1,Control!$B$7)+1</x:f>
        <x:v>134</x:v>
      </x:c>
      <x:c r="I1253" s="73" t="n">
        <x:f>MIN(Control!$B$6,MAX(1,INT(MAX(0,G1253)/Control!$B$7)+1))</x:f>
        <x:v>5</x:v>
      </x:c>
      <x:c r="J1253" s="73" t="n">
        <x:f>INDEX(Drivers!$H$8:$H$13,B1253)</x:f>
        <x:v>2</x:v>
      </x:c>
      <x:c r="K1253" s="73" t="n">
        <x:f>IF(J1253=1,INDEX(TrackMap!$I$8:$I$141,H1253),INDEX(TrackMap!$L$8:$L$141,H1253))</x:f>
        <x:v>3017</x:v>
      </x:c>
      <x:c r="L1253" s="73" t="str">
        <x:f>INDEX(TrackMap!$F$8:$F$141,H1253)</x:f>
        <x:v>←</x:v>
      </x:c>
      <x:c r="M1253" s="87" t="n">
        <x:f>MAX(0,G1253/Control!$B$17)</x:f>
        <x:v>1</x:v>
      </x:c>
      <x:c r="N1253" s="73" t="n">
        <x:f>IF(N1247&gt;0,N1247,IF(G1253&gt;=Control!$B$17,A1253,0))</x:f>
        <x:v>198</x:v>
      </x:c>
      <x:c r="O1253" s="91" t="n">
        <x:f>IF(N1253&gt;0,Control!$B$17+Control!$B$8+1-N1253,G1253)-B1253/100000</x:f>
        <x:v>712.99996</x:v>
      </x:c>
      <x:c r="P1253" s="73" t="n">
        <x:f>COUNTIF($O$1250:$O$1255,"&gt;"&amp;O1253)+1</x:f>
        <x:v>5</x:v>
      </x:c>
      <x:c r="Q1253" s="83" t="n">
        <x:f>MAX($G$1250:$G$1255)-G1253</x:f>
        <x:v>0</x:v>
      </x:c>
      <x:c r="R1253" s="73" t="str">
        <x:f>INDEX(TrackMap!$B$8:$B$141,H1253)</x:f>
        <x:v>发车大直道</x:v>
      </x:c>
    </x:row>
    <x:row r="1254" ht="20" customHeight="1">
      <x:c r="A1254" s="73" t="n">
        <x:v>207</x:v>
      </x:c>
      <x:c r="B1254" s="73" t="n">
        <x:v>5</x:v>
      </x:c>
      <x:c r="C1254" s="73" t="str">
        <x:f>INDEX(Drivers!$B$8:$B$13,B1254)</x:f>
        <x:v>青锋</x:v>
      </x:c>
      <x:c r="D1254" s="83" t="n">
        <x:f>G1248</x:f>
        <x:v>670</x:v>
      </x:c>
      <x:c r="E1254" s="83" t="str">
        <x:f>IF(A1254=0,"GRID",IF(D1254&gt;=Control!$B$17,"FINISHED",IF(AND(A1254&gt;=INDEX(Drivers!$G$8:$G$13,B1254),A1254&lt;INDEX(Drivers!$G$8:$G$13,B1254)+INDEX(Drivers!$J$8:$J$13,B1254)),"PIT",IF(MOD(A1254+INDEX(Drivers!$F$8:$F$13,B1254),Control!$B$11)&lt;Control!$B$13,"BOOST","RACE"))))</x:f>
        <x:v>FINISHED</x:v>
      </x:c>
      <x:c r="F1254" s="83" t="n">
        <x:f>IF(OR(E1254="GRID",E1254="FINISHED",E1254="PIT"),0,MAX(Control!$B$15,(INDEX(Drivers!$D$8:$D$13,B1254)+INDEX(Drivers!$E$8:$E$13,B1254)*SIN((A1254+INDEX(Drivers!$F$8:$F$13,B1254)+Control!$B$16)*Control!$B$14))*INDEX(TrackMap!$M$8:$M$141,MOD(INT(D1254)-1,Control!$B$7)+1)*IF(E1254="BOOST",Control!$B$12,1)))</x:f>
        <x:v>0</x:v>
      </x:c>
      <x:c r="G1254" s="83" t="n">
        <x:f>IF(A1254=0,D1254,MIN(Control!$B$17,D1254+F1254))</x:f>
        <x:v>670</x:v>
      </x:c>
      <x:c r="H1254" s="73" t="n">
        <x:f>MOD(INT(G1254)-1,Control!$B$7)+1</x:f>
        <x:v>134</x:v>
      </x:c>
      <x:c r="I1254" s="73" t="n">
        <x:f>MIN(Control!$B$6,MAX(1,INT(MAX(0,G1254)/Control!$B$7)+1))</x:f>
        <x:v>5</x:v>
      </x:c>
      <x:c r="J1254" s="73" t="n">
        <x:f>INDEX(Drivers!$H$8:$H$13,B1254)</x:f>
        <x:v>1</x:v>
      </x:c>
      <x:c r="K1254" s="73" t="n">
        <x:f>IF(J1254=1,INDEX(TrackMap!$I$8:$I$141,H1254),INDEX(TrackMap!$L$8:$L$141,H1254))</x:f>
        <x:v>3117</x:v>
      </x:c>
      <x:c r="L1254" s="73" t="str">
        <x:f>INDEX(TrackMap!$F$8:$F$141,H1254)</x:f>
        <x:v>←</x:v>
      </x:c>
      <x:c r="M1254" s="87" t="n">
        <x:f>MAX(0,G1254/Control!$B$17)</x:f>
        <x:v>1</x:v>
      </x:c>
      <x:c r="N1254" s="73" t="n">
        <x:f>IF(N1248&gt;0,N1248,IF(G1254&gt;=Control!$B$17,A1254,0))</x:f>
        <x:v>195</x:v>
      </x:c>
      <x:c r="O1254" s="91" t="n">
        <x:f>IF(N1254&gt;0,Control!$B$17+Control!$B$8+1-N1254,G1254)-B1254/100000</x:f>
        <x:v>715.99995</x:v>
      </x:c>
      <x:c r="P1254" s="73" t="n">
        <x:f>COUNTIF($O$1250:$O$1255,"&gt;"&amp;O1254)+1</x:f>
        <x:v>3</x:v>
      </x:c>
      <x:c r="Q1254" s="83" t="n">
        <x:f>MAX($G$1250:$G$1255)-G1254</x:f>
        <x:v>0</x:v>
      </x:c>
      <x:c r="R1254" s="73" t="str">
        <x:f>INDEX(TrackMap!$B$8:$B$141,H1254)</x:f>
        <x:v>发车大直道</x:v>
      </x:c>
    </x:row>
    <x:row r="1255" ht="20" customHeight="1">
      <x:c r="A1255" s="73" t="n">
        <x:v>207</x:v>
      </x:c>
      <x:c r="B1255" s="73" t="n">
        <x:v>6</x:v>
      </x:c>
      <x:c r="C1255" s="73" t="str">
        <x:f>INDEX(Drivers!$B$8:$B$13,B1255)</x:f>
        <x:v>玫速</x:v>
      </x:c>
      <x:c r="D1255" s="83" t="n">
        <x:f>G1249</x:f>
        <x:v>670</x:v>
      </x:c>
      <x:c r="E1255" s="83" t="str">
        <x:f>IF(A1255=0,"GRID",IF(D1255&gt;=Control!$B$17,"FINISHED",IF(AND(A1255&gt;=INDEX(Drivers!$G$8:$G$13,B1255),A1255&lt;INDEX(Drivers!$G$8:$G$13,B1255)+INDEX(Drivers!$J$8:$J$13,B1255)),"PIT",IF(MOD(A1255+INDEX(Drivers!$F$8:$F$13,B1255),Control!$B$11)&lt;Control!$B$13,"BOOST","RACE"))))</x:f>
        <x:v>FINISHED</x:v>
      </x:c>
      <x:c r="F1255" s="83" t="n">
        <x:f>IF(OR(E1255="GRID",E1255="FINISHED",E1255="PIT"),0,MAX(Control!$B$15,(INDEX(Drivers!$D$8:$D$13,B1255)+INDEX(Drivers!$E$8:$E$13,B1255)*SIN((A1255+INDEX(Drivers!$F$8:$F$13,B1255)+Control!$B$16)*Control!$B$14))*INDEX(TrackMap!$M$8:$M$141,MOD(INT(D1255)-1,Control!$B$7)+1)*IF(E1255="BOOST",Control!$B$12,1)))</x:f>
        <x:v>0</x:v>
      </x:c>
      <x:c r="G1255" s="83" t="n">
        <x:f>IF(A1255=0,D1255,MIN(Control!$B$17,D1255+F1255))</x:f>
        <x:v>670</x:v>
      </x:c>
      <x:c r="H1255" s="73" t="n">
        <x:f>MOD(INT(G1255)-1,Control!$B$7)+1</x:f>
        <x:v>134</x:v>
      </x:c>
      <x:c r="I1255" s="73" t="n">
        <x:f>MIN(Control!$B$6,MAX(1,INT(MAX(0,G1255)/Control!$B$7)+1))</x:f>
        <x:v>5</x:v>
      </x:c>
      <x:c r="J1255" s="73" t="n">
        <x:f>INDEX(Drivers!$H$8:$H$13,B1255)</x:f>
        <x:v>2</x:v>
      </x:c>
      <x:c r="K1255" s="73" t="n">
        <x:f>IF(J1255=1,INDEX(TrackMap!$I$8:$I$141,H1255),INDEX(TrackMap!$L$8:$L$141,H1255))</x:f>
        <x:v>3017</x:v>
      </x:c>
      <x:c r="L1255" s="73" t="str">
        <x:f>INDEX(TrackMap!$F$8:$F$141,H1255)</x:f>
        <x:v>←</x:v>
      </x:c>
      <x:c r="M1255" s="87" t="n">
        <x:f>MAX(0,G1255/Control!$B$17)</x:f>
        <x:v>1</x:v>
      </x:c>
      <x:c r="N1255" s="73" t="n">
        <x:f>IF(N1249&gt;0,N1249,IF(G1255&gt;=Control!$B$17,A1255,0))</x:f>
        <x:v>196</x:v>
      </x:c>
      <x:c r="O1255" s="91" t="n">
        <x:f>IF(N1255&gt;0,Control!$B$17+Control!$B$8+1-N1255,G1255)-B1255/100000</x:f>
        <x:v>714.99994</x:v>
      </x:c>
      <x:c r="P1255" s="73" t="n">
        <x:f>COUNTIF($O$1250:$O$1255,"&gt;"&amp;O1255)+1</x:f>
        <x:v>4</x:v>
      </x:c>
      <x:c r="Q1255" s="83" t="n">
        <x:f>MAX($G$1250:$G$1255)-G1255</x:f>
        <x:v>0</x:v>
      </x:c>
      <x:c r="R1255" s="73" t="str">
        <x:f>INDEX(TrackMap!$B$8:$B$141,H1255)</x:f>
        <x:v>发车大直道</x:v>
      </x:c>
    </x:row>
    <x:row r="1256" ht="20" customHeight="1">
      <x:c r="A1256" s="73" t="n">
        <x:v>208</x:v>
      </x:c>
      <x:c r="B1256" s="73" t="n">
        <x:v>1</x:v>
      </x:c>
      <x:c r="C1256" s="73" t="str">
        <x:f>INDEX(Drivers!$B$8:$B$13,B1256)</x:f>
        <x:v>赤焰</x:v>
      </x:c>
      <x:c r="D1256" s="83" t="n">
        <x:f>G1250</x:f>
        <x:v>670</x:v>
      </x:c>
      <x:c r="E1256" s="83" t="str">
        <x:f>IF(A1256=0,"GRID",IF(D1256&gt;=Control!$B$17,"FINISHED",IF(AND(A1256&gt;=INDEX(Drivers!$G$8:$G$13,B1256),A1256&lt;INDEX(Drivers!$G$8:$G$13,B1256)+INDEX(Drivers!$J$8:$J$13,B1256)),"PIT",IF(MOD(A1256+INDEX(Drivers!$F$8:$F$13,B1256),Control!$B$11)&lt;Control!$B$13,"BOOST","RACE"))))</x:f>
        <x:v>FINISHED</x:v>
      </x:c>
      <x:c r="F1256" s="83" t="n">
        <x:f>IF(OR(E1256="GRID",E1256="FINISHED",E1256="PIT"),0,MAX(Control!$B$15,(INDEX(Drivers!$D$8:$D$13,B1256)+INDEX(Drivers!$E$8:$E$13,B1256)*SIN((A1256+INDEX(Drivers!$F$8:$F$13,B1256)+Control!$B$16)*Control!$B$14))*INDEX(TrackMap!$M$8:$M$141,MOD(INT(D1256)-1,Control!$B$7)+1)*IF(E1256="BOOST",Control!$B$12,1)))</x:f>
        <x:v>0</x:v>
      </x:c>
      <x:c r="G1256" s="83" t="n">
        <x:f>IF(A1256=0,D1256,MIN(Control!$B$17,D1256+F1256))</x:f>
        <x:v>670</x:v>
      </x:c>
      <x:c r="H1256" s="73" t="n">
        <x:f>MOD(INT(G1256)-1,Control!$B$7)+1</x:f>
        <x:v>134</x:v>
      </x:c>
      <x:c r="I1256" s="73" t="n">
        <x:f>MIN(Control!$B$6,MAX(1,INT(MAX(0,G1256)/Control!$B$7)+1))</x:f>
        <x:v>5</x:v>
      </x:c>
      <x:c r="J1256" s="73" t="n">
        <x:f>INDEX(Drivers!$H$8:$H$13,B1256)</x:f>
        <x:v>1</x:v>
      </x:c>
      <x:c r="K1256" s="73" t="n">
        <x:f>IF(J1256=1,INDEX(TrackMap!$I$8:$I$141,H1256),INDEX(TrackMap!$L$8:$L$141,H1256))</x:f>
        <x:v>3117</x:v>
      </x:c>
      <x:c r="L1256" s="73" t="str">
        <x:f>INDEX(TrackMap!$F$8:$F$141,H1256)</x:f>
        <x:v>←</x:v>
      </x:c>
      <x:c r="M1256" s="87" t="n">
        <x:f>MAX(0,G1256/Control!$B$17)</x:f>
        <x:v>1</x:v>
      </x:c>
      <x:c r="N1256" s="73" t="n">
        <x:f>IF(N1250&gt;0,N1250,IF(G1256&gt;=Control!$B$17,A1256,0))</x:f>
        <x:v>194</x:v>
      </x:c>
      <x:c r="O1256" s="91" t="n">
        <x:f>IF(N1256&gt;0,Control!$B$17+Control!$B$8+1-N1256,G1256)-B1256/100000</x:f>
        <x:v>716.99999</x:v>
      </x:c>
      <x:c r="P1256" s="73" t="n">
        <x:f>COUNTIF($O$1256:$O$1261,"&gt;"&amp;O1256)+1</x:f>
        <x:v>1</x:v>
      </x:c>
      <x:c r="Q1256" s="83" t="n">
        <x:f>MAX($G$1256:$G$1261)-G1256</x:f>
        <x:v>0</x:v>
      </x:c>
      <x:c r="R1256" s="73" t="str">
        <x:f>INDEX(TrackMap!$B$8:$B$141,H1256)</x:f>
        <x:v>发车大直道</x:v>
      </x:c>
    </x:row>
    <x:row r="1257" ht="20" customHeight="1">
      <x:c r="A1257" s="73" t="n">
        <x:v>208</x:v>
      </x:c>
      <x:c r="B1257" s="73" t="n">
        <x:v>2</x:v>
      </x:c>
      <x:c r="C1257" s="73" t="str">
        <x:f>INDEX(Drivers!$B$8:$B$13,B1257)</x:f>
        <x:v>蓝电</x:v>
      </x:c>
      <x:c r="D1257" s="83" t="n">
        <x:f>G1251</x:f>
        <x:v>670</x:v>
      </x:c>
      <x:c r="E1257" s="83" t="str">
        <x:f>IF(A1257=0,"GRID",IF(D1257&gt;=Control!$B$17,"FINISHED",IF(AND(A1257&gt;=INDEX(Drivers!$G$8:$G$13,B1257),A1257&lt;INDEX(Drivers!$G$8:$G$13,B1257)+INDEX(Drivers!$J$8:$J$13,B1257)),"PIT",IF(MOD(A1257+INDEX(Drivers!$F$8:$F$13,B1257),Control!$B$11)&lt;Control!$B$13,"BOOST","RACE"))))</x:f>
        <x:v>FINISHED</x:v>
      </x:c>
      <x:c r="F1257" s="83" t="n">
        <x:f>IF(OR(E1257="GRID",E1257="FINISHED",E1257="PIT"),0,MAX(Control!$B$15,(INDEX(Drivers!$D$8:$D$13,B1257)+INDEX(Drivers!$E$8:$E$13,B1257)*SIN((A1257+INDEX(Drivers!$F$8:$F$13,B1257)+Control!$B$16)*Control!$B$14))*INDEX(TrackMap!$M$8:$M$141,MOD(INT(D1257)-1,Control!$B$7)+1)*IF(E1257="BOOST",Control!$B$12,1)))</x:f>
        <x:v>0</x:v>
      </x:c>
      <x:c r="G1257" s="83" t="n">
        <x:f>IF(A1257=0,D1257,MIN(Control!$B$17,D1257+F1257))</x:f>
        <x:v>670</x:v>
      </x:c>
      <x:c r="H1257" s="73" t="n">
        <x:f>MOD(INT(G1257)-1,Control!$B$7)+1</x:f>
        <x:v>134</x:v>
      </x:c>
      <x:c r="I1257" s="73" t="n">
        <x:f>MIN(Control!$B$6,MAX(1,INT(MAX(0,G1257)/Control!$B$7)+1))</x:f>
        <x:v>5</x:v>
      </x:c>
      <x:c r="J1257" s="73" t="n">
        <x:f>INDEX(Drivers!$H$8:$H$13,B1257)</x:f>
        <x:v>2</x:v>
      </x:c>
      <x:c r="K1257" s="73" t="n">
        <x:f>IF(J1257=1,INDEX(TrackMap!$I$8:$I$141,H1257),INDEX(TrackMap!$L$8:$L$141,H1257))</x:f>
        <x:v>3017</x:v>
      </x:c>
      <x:c r="L1257" s="73" t="str">
        <x:f>INDEX(TrackMap!$F$8:$F$141,H1257)</x:f>
        <x:v>←</x:v>
      </x:c>
      <x:c r="M1257" s="87" t="n">
        <x:f>MAX(0,G1257/Control!$B$17)</x:f>
        <x:v>1</x:v>
      </x:c>
      <x:c r="N1257" s="73" t="n">
        <x:f>IF(N1251&gt;0,N1251,IF(G1257&gt;=Control!$B$17,A1257,0))</x:f>
        <x:v>201</x:v>
      </x:c>
      <x:c r="O1257" s="91" t="n">
        <x:f>IF(N1257&gt;0,Control!$B$17+Control!$B$8+1-N1257,G1257)-B1257/100000</x:f>
        <x:v>709.99998</x:v>
      </x:c>
      <x:c r="P1257" s="73" t="n">
        <x:f>COUNTIF($O$1256:$O$1261,"&gt;"&amp;O1257)+1</x:f>
        <x:v>6</x:v>
      </x:c>
      <x:c r="Q1257" s="83" t="n">
        <x:f>MAX($G$1256:$G$1261)-G1257</x:f>
        <x:v>0</x:v>
      </x:c>
      <x:c r="R1257" s="73" t="str">
        <x:f>INDEX(TrackMap!$B$8:$B$141,H1257)</x:f>
        <x:v>发车大直道</x:v>
      </x:c>
    </x:row>
    <x:row r="1258" ht="20" customHeight="1">
      <x:c r="A1258" s="73" t="n">
        <x:v>208</x:v>
      </x:c>
      <x:c r="B1258" s="73" t="n">
        <x:v>3</x:v>
      </x:c>
      <x:c r="C1258" s="73" t="str">
        <x:f>INDEX(Drivers!$B$8:$B$13,B1258)</x:f>
        <x:v>金翼</x:v>
      </x:c>
      <x:c r="D1258" s="83" t="n">
        <x:f>G1252</x:f>
        <x:v>670</x:v>
      </x:c>
      <x:c r="E1258" s="83" t="str">
        <x:f>IF(A1258=0,"GRID",IF(D1258&gt;=Control!$B$17,"FINISHED",IF(AND(A1258&gt;=INDEX(Drivers!$G$8:$G$13,B1258),A1258&lt;INDEX(Drivers!$G$8:$G$13,B1258)+INDEX(Drivers!$J$8:$J$13,B1258)),"PIT",IF(MOD(A1258+INDEX(Drivers!$F$8:$F$13,B1258),Control!$B$11)&lt;Control!$B$13,"BOOST","RACE"))))</x:f>
        <x:v>FINISHED</x:v>
      </x:c>
      <x:c r="F1258" s="83" t="n">
        <x:f>IF(OR(E1258="GRID",E1258="FINISHED",E1258="PIT"),0,MAX(Control!$B$15,(INDEX(Drivers!$D$8:$D$13,B1258)+INDEX(Drivers!$E$8:$E$13,B1258)*SIN((A1258+INDEX(Drivers!$F$8:$F$13,B1258)+Control!$B$16)*Control!$B$14))*INDEX(TrackMap!$M$8:$M$141,MOD(INT(D1258)-1,Control!$B$7)+1)*IF(E1258="BOOST",Control!$B$12,1)))</x:f>
        <x:v>0</x:v>
      </x:c>
      <x:c r="G1258" s="83" t="n">
        <x:f>IF(A1258=0,D1258,MIN(Control!$B$17,D1258+F1258))</x:f>
        <x:v>670</x:v>
      </x:c>
      <x:c r="H1258" s="73" t="n">
        <x:f>MOD(INT(G1258)-1,Control!$B$7)+1</x:f>
        <x:v>134</x:v>
      </x:c>
      <x:c r="I1258" s="73" t="n">
        <x:f>MIN(Control!$B$6,MAX(1,INT(MAX(0,G1258)/Control!$B$7)+1))</x:f>
        <x:v>5</x:v>
      </x:c>
      <x:c r="J1258" s="73" t="n">
        <x:f>INDEX(Drivers!$H$8:$H$13,B1258)</x:f>
        <x:v>1</x:v>
      </x:c>
      <x:c r="K1258" s="73" t="n">
        <x:f>IF(J1258=1,INDEX(TrackMap!$I$8:$I$141,H1258),INDEX(TrackMap!$L$8:$L$141,H1258))</x:f>
        <x:v>3117</x:v>
      </x:c>
      <x:c r="L1258" s="73" t="str">
        <x:f>INDEX(TrackMap!$F$8:$F$141,H1258)</x:f>
        <x:v>←</x:v>
      </x:c>
      <x:c r="M1258" s="87" t="n">
        <x:f>MAX(0,G1258/Control!$B$17)</x:f>
        <x:v>1</x:v>
      </x:c>
      <x:c r="N1258" s="73" t="n">
        <x:f>IF(N1252&gt;0,N1252,IF(G1258&gt;=Control!$B$17,A1258,0))</x:f>
        <x:v>195</x:v>
      </x:c>
      <x:c r="O1258" s="91" t="n">
        <x:f>IF(N1258&gt;0,Control!$B$17+Control!$B$8+1-N1258,G1258)-B1258/100000</x:f>
        <x:v>715.99997</x:v>
      </x:c>
      <x:c r="P1258" s="73" t="n">
        <x:f>COUNTIF($O$1256:$O$1261,"&gt;"&amp;O1258)+1</x:f>
        <x:v>2</x:v>
      </x:c>
      <x:c r="Q1258" s="83" t="n">
        <x:f>MAX($G$1256:$G$1261)-G1258</x:f>
        <x:v>0</x:v>
      </x:c>
      <x:c r="R1258" s="73" t="str">
        <x:f>INDEX(TrackMap!$B$8:$B$141,H1258)</x:f>
        <x:v>发车大直道</x:v>
      </x:c>
    </x:row>
    <x:row r="1259" ht="20" customHeight="1">
      <x:c r="A1259" s="73" t="n">
        <x:v>208</x:v>
      </x:c>
      <x:c r="B1259" s="73" t="n">
        <x:v>4</x:v>
      </x:c>
      <x:c r="C1259" s="73" t="str">
        <x:f>INDEX(Drivers!$B$8:$B$13,B1259)</x:f>
        <x:v>紫影</x:v>
      </x:c>
      <x:c r="D1259" s="83" t="n">
        <x:f>G1253</x:f>
        <x:v>670</x:v>
      </x:c>
      <x:c r="E1259" s="83" t="str">
        <x:f>IF(A1259=0,"GRID",IF(D1259&gt;=Control!$B$17,"FINISHED",IF(AND(A1259&gt;=INDEX(Drivers!$G$8:$G$13,B1259),A1259&lt;INDEX(Drivers!$G$8:$G$13,B1259)+INDEX(Drivers!$J$8:$J$13,B1259)),"PIT",IF(MOD(A1259+INDEX(Drivers!$F$8:$F$13,B1259),Control!$B$11)&lt;Control!$B$13,"BOOST","RACE"))))</x:f>
        <x:v>FINISHED</x:v>
      </x:c>
      <x:c r="F1259" s="83" t="n">
        <x:f>IF(OR(E1259="GRID",E1259="FINISHED",E1259="PIT"),0,MAX(Control!$B$15,(INDEX(Drivers!$D$8:$D$13,B1259)+INDEX(Drivers!$E$8:$E$13,B1259)*SIN((A1259+INDEX(Drivers!$F$8:$F$13,B1259)+Control!$B$16)*Control!$B$14))*INDEX(TrackMap!$M$8:$M$141,MOD(INT(D1259)-1,Control!$B$7)+1)*IF(E1259="BOOST",Control!$B$12,1)))</x:f>
        <x:v>0</x:v>
      </x:c>
      <x:c r="G1259" s="83" t="n">
        <x:f>IF(A1259=0,D1259,MIN(Control!$B$17,D1259+F1259))</x:f>
        <x:v>670</x:v>
      </x:c>
      <x:c r="H1259" s="73" t="n">
        <x:f>MOD(INT(G1259)-1,Control!$B$7)+1</x:f>
        <x:v>134</x:v>
      </x:c>
      <x:c r="I1259" s="73" t="n">
        <x:f>MIN(Control!$B$6,MAX(1,INT(MAX(0,G1259)/Control!$B$7)+1))</x:f>
        <x:v>5</x:v>
      </x:c>
      <x:c r="J1259" s="73" t="n">
        <x:f>INDEX(Drivers!$H$8:$H$13,B1259)</x:f>
        <x:v>2</x:v>
      </x:c>
      <x:c r="K1259" s="73" t="n">
        <x:f>IF(J1259=1,INDEX(TrackMap!$I$8:$I$141,H1259),INDEX(TrackMap!$L$8:$L$141,H1259))</x:f>
        <x:v>3017</x:v>
      </x:c>
      <x:c r="L1259" s="73" t="str">
        <x:f>INDEX(TrackMap!$F$8:$F$141,H1259)</x:f>
        <x:v>←</x:v>
      </x:c>
      <x:c r="M1259" s="87" t="n">
        <x:f>MAX(0,G1259/Control!$B$17)</x:f>
        <x:v>1</x:v>
      </x:c>
      <x:c r="N1259" s="73" t="n">
        <x:f>IF(N1253&gt;0,N1253,IF(G1259&gt;=Control!$B$17,A1259,0))</x:f>
        <x:v>198</x:v>
      </x:c>
      <x:c r="O1259" s="91" t="n">
        <x:f>IF(N1259&gt;0,Control!$B$17+Control!$B$8+1-N1259,G1259)-B1259/100000</x:f>
        <x:v>712.99996</x:v>
      </x:c>
      <x:c r="P1259" s="73" t="n">
        <x:f>COUNTIF($O$1256:$O$1261,"&gt;"&amp;O1259)+1</x:f>
        <x:v>5</x:v>
      </x:c>
      <x:c r="Q1259" s="83" t="n">
        <x:f>MAX($G$1256:$G$1261)-G1259</x:f>
        <x:v>0</x:v>
      </x:c>
      <x:c r="R1259" s="73" t="str">
        <x:f>INDEX(TrackMap!$B$8:$B$141,H1259)</x:f>
        <x:v>发车大直道</x:v>
      </x:c>
    </x:row>
    <x:row r="1260" ht="20" customHeight="1">
      <x:c r="A1260" s="73" t="n">
        <x:v>208</x:v>
      </x:c>
      <x:c r="B1260" s="73" t="n">
        <x:v>5</x:v>
      </x:c>
      <x:c r="C1260" s="73" t="str">
        <x:f>INDEX(Drivers!$B$8:$B$13,B1260)</x:f>
        <x:v>青锋</x:v>
      </x:c>
      <x:c r="D1260" s="83" t="n">
        <x:f>G1254</x:f>
        <x:v>670</x:v>
      </x:c>
      <x:c r="E1260" s="83" t="str">
        <x:f>IF(A1260=0,"GRID",IF(D1260&gt;=Control!$B$17,"FINISHED",IF(AND(A1260&gt;=INDEX(Drivers!$G$8:$G$13,B1260),A1260&lt;INDEX(Drivers!$G$8:$G$13,B1260)+INDEX(Drivers!$J$8:$J$13,B1260)),"PIT",IF(MOD(A1260+INDEX(Drivers!$F$8:$F$13,B1260),Control!$B$11)&lt;Control!$B$13,"BOOST","RACE"))))</x:f>
        <x:v>FINISHED</x:v>
      </x:c>
      <x:c r="F1260" s="83" t="n">
        <x:f>IF(OR(E1260="GRID",E1260="FINISHED",E1260="PIT"),0,MAX(Control!$B$15,(INDEX(Drivers!$D$8:$D$13,B1260)+INDEX(Drivers!$E$8:$E$13,B1260)*SIN((A1260+INDEX(Drivers!$F$8:$F$13,B1260)+Control!$B$16)*Control!$B$14))*INDEX(TrackMap!$M$8:$M$141,MOD(INT(D1260)-1,Control!$B$7)+1)*IF(E1260="BOOST",Control!$B$12,1)))</x:f>
        <x:v>0</x:v>
      </x:c>
      <x:c r="G1260" s="83" t="n">
        <x:f>IF(A1260=0,D1260,MIN(Control!$B$17,D1260+F1260))</x:f>
        <x:v>670</x:v>
      </x:c>
      <x:c r="H1260" s="73" t="n">
        <x:f>MOD(INT(G1260)-1,Control!$B$7)+1</x:f>
        <x:v>134</x:v>
      </x:c>
      <x:c r="I1260" s="73" t="n">
        <x:f>MIN(Control!$B$6,MAX(1,INT(MAX(0,G1260)/Control!$B$7)+1))</x:f>
        <x:v>5</x:v>
      </x:c>
      <x:c r="J1260" s="73" t="n">
        <x:f>INDEX(Drivers!$H$8:$H$13,B1260)</x:f>
        <x:v>1</x:v>
      </x:c>
      <x:c r="K1260" s="73" t="n">
        <x:f>IF(J1260=1,INDEX(TrackMap!$I$8:$I$141,H1260),INDEX(TrackMap!$L$8:$L$141,H1260))</x:f>
        <x:v>3117</x:v>
      </x:c>
      <x:c r="L1260" s="73" t="str">
        <x:f>INDEX(TrackMap!$F$8:$F$141,H1260)</x:f>
        <x:v>←</x:v>
      </x:c>
      <x:c r="M1260" s="87" t="n">
        <x:f>MAX(0,G1260/Control!$B$17)</x:f>
        <x:v>1</x:v>
      </x:c>
      <x:c r="N1260" s="73" t="n">
        <x:f>IF(N1254&gt;0,N1254,IF(G1260&gt;=Control!$B$17,A1260,0))</x:f>
        <x:v>195</x:v>
      </x:c>
      <x:c r="O1260" s="91" t="n">
        <x:f>IF(N1260&gt;0,Control!$B$17+Control!$B$8+1-N1260,G1260)-B1260/100000</x:f>
        <x:v>715.99995</x:v>
      </x:c>
      <x:c r="P1260" s="73" t="n">
        <x:f>COUNTIF($O$1256:$O$1261,"&gt;"&amp;O1260)+1</x:f>
        <x:v>3</x:v>
      </x:c>
      <x:c r="Q1260" s="83" t="n">
        <x:f>MAX($G$1256:$G$1261)-G1260</x:f>
        <x:v>0</x:v>
      </x:c>
      <x:c r="R1260" s="73" t="str">
        <x:f>INDEX(TrackMap!$B$8:$B$141,H1260)</x:f>
        <x:v>发车大直道</x:v>
      </x:c>
    </x:row>
    <x:row r="1261" ht="20" customHeight="1">
      <x:c r="A1261" s="73" t="n">
        <x:v>208</x:v>
      </x:c>
      <x:c r="B1261" s="73" t="n">
        <x:v>6</x:v>
      </x:c>
      <x:c r="C1261" s="73" t="str">
        <x:f>INDEX(Drivers!$B$8:$B$13,B1261)</x:f>
        <x:v>玫速</x:v>
      </x:c>
      <x:c r="D1261" s="83" t="n">
        <x:f>G1255</x:f>
        <x:v>670</x:v>
      </x:c>
      <x:c r="E1261" s="83" t="str">
        <x:f>IF(A1261=0,"GRID",IF(D1261&gt;=Control!$B$17,"FINISHED",IF(AND(A1261&gt;=INDEX(Drivers!$G$8:$G$13,B1261),A1261&lt;INDEX(Drivers!$G$8:$G$13,B1261)+INDEX(Drivers!$J$8:$J$13,B1261)),"PIT",IF(MOD(A1261+INDEX(Drivers!$F$8:$F$13,B1261),Control!$B$11)&lt;Control!$B$13,"BOOST","RACE"))))</x:f>
        <x:v>FINISHED</x:v>
      </x:c>
      <x:c r="F1261" s="83" t="n">
        <x:f>IF(OR(E1261="GRID",E1261="FINISHED",E1261="PIT"),0,MAX(Control!$B$15,(INDEX(Drivers!$D$8:$D$13,B1261)+INDEX(Drivers!$E$8:$E$13,B1261)*SIN((A1261+INDEX(Drivers!$F$8:$F$13,B1261)+Control!$B$16)*Control!$B$14))*INDEX(TrackMap!$M$8:$M$141,MOD(INT(D1261)-1,Control!$B$7)+1)*IF(E1261="BOOST",Control!$B$12,1)))</x:f>
        <x:v>0</x:v>
      </x:c>
      <x:c r="G1261" s="83" t="n">
        <x:f>IF(A1261=0,D1261,MIN(Control!$B$17,D1261+F1261))</x:f>
        <x:v>670</x:v>
      </x:c>
      <x:c r="H1261" s="73" t="n">
        <x:f>MOD(INT(G1261)-1,Control!$B$7)+1</x:f>
        <x:v>134</x:v>
      </x:c>
      <x:c r="I1261" s="73" t="n">
        <x:f>MIN(Control!$B$6,MAX(1,INT(MAX(0,G1261)/Control!$B$7)+1))</x:f>
        <x:v>5</x:v>
      </x:c>
      <x:c r="J1261" s="73" t="n">
        <x:f>INDEX(Drivers!$H$8:$H$13,B1261)</x:f>
        <x:v>2</x:v>
      </x:c>
      <x:c r="K1261" s="73" t="n">
        <x:f>IF(J1261=1,INDEX(TrackMap!$I$8:$I$141,H1261),INDEX(TrackMap!$L$8:$L$141,H1261))</x:f>
        <x:v>3017</x:v>
      </x:c>
      <x:c r="L1261" s="73" t="str">
        <x:f>INDEX(TrackMap!$F$8:$F$141,H1261)</x:f>
        <x:v>←</x:v>
      </x:c>
      <x:c r="M1261" s="87" t="n">
        <x:f>MAX(0,G1261/Control!$B$17)</x:f>
        <x:v>1</x:v>
      </x:c>
      <x:c r="N1261" s="73" t="n">
        <x:f>IF(N1255&gt;0,N1255,IF(G1261&gt;=Control!$B$17,A1261,0))</x:f>
        <x:v>196</x:v>
      </x:c>
      <x:c r="O1261" s="91" t="n">
        <x:f>IF(N1261&gt;0,Control!$B$17+Control!$B$8+1-N1261,G1261)-B1261/100000</x:f>
        <x:v>714.99994</x:v>
      </x:c>
      <x:c r="P1261" s="73" t="n">
        <x:f>COUNTIF($O$1256:$O$1261,"&gt;"&amp;O1261)+1</x:f>
        <x:v>4</x:v>
      </x:c>
      <x:c r="Q1261" s="83" t="n">
        <x:f>MAX($G$1256:$G$1261)-G1261</x:f>
        <x:v>0</x:v>
      </x:c>
      <x:c r="R1261" s="73" t="str">
        <x:f>INDEX(TrackMap!$B$8:$B$141,H1261)</x:f>
        <x:v>发车大直道</x:v>
      </x:c>
    </x:row>
    <x:row r="1262" ht="20" customHeight="1">
      <x:c r="A1262" s="73" t="n">
        <x:v>209</x:v>
      </x:c>
      <x:c r="B1262" s="73" t="n">
        <x:v>1</x:v>
      </x:c>
      <x:c r="C1262" s="73" t="str">
        <x:f>INDEX(Drivers!$B$8:$B$13,B1262)</x:f>
        <x:v>赤焰</x:v>
      </x:c>
      <x:c r="D1262" s="83" t="n">
        <x:f>G1256</x:f>
        <x:v>670</x:v>
      </x:c>
      <x:c r="E1262" s="83" t="str">
        <x:f>IF(A1262=0,"GRID",IF(D1262&gt;=Control!$B$17,"FINISHED",IF(AND(A1262&gt;=INDEX(Drivers!$G$8:$G$13,B1262),A1262&lt;INDEX(Drivers!$G$8:$G$13,B1262)+INDEX(Drivers!$J$8:$J$13,B1262)),"PIT",IF(MOD(A1262+INDEX(Drivers!$F$8:$F$13,B1262),Control!$B$11)&lt;Control!$B$13,"BOOST","RACE"))))</x:f>
        <x:v>FINISHED</x:v>
      </x:c>
      <x:c r="F1262" s="83" t="n">
        <x:f>IF(OR(E1262="GRID",E1262="FINISHED",E1262="PIT"),0,MAX(Control!$B$15,(INDEX(Drivers!$D$8:$D$13,B1262)+INDEX(Drivers!$E$8:$E$13,B1262)*SIN((A1262+INDEX(Drivers!$F$8:$F$13,B1262)+Control!$B$16)*Control!$B$14))*INDEX(TrackMap!$M$8:$M$141,MOD(INT(D1262)-1,Control!$B$7)+1)*IF(E1262="BOOST",Control!$B$12,1)))</x:f>
        <x:v>0</x:v>
      </x:c>
      <x:c r="G1262" s="83" t="n">
        <x:f>IF(A1262=0,D1262,MIN(Control!$B$17,D1262+F1262))</x:f>
        <x:v>670</x:v>
      </x:c>
      <x:c r="H1262" s="73" t="n">
        <x:f>MOD(INT(G1262)-1,Control!$B$7)+1</x:f>
        <x:v>134</x:v>
      </x:c>
      <x:c r="I1262" s="73" t="n">
        <x:f>MIN(Control!$B$6,MAX(1,INT(MAX(0,G1262)/Control!$B$7)+1))</x:f>
        <x:v>5</x:v>
      </x:c>
      <x:c r="J1262" s="73" t="n">
        <x:f>INDEX(Drivers!$H$8:$H$13,B1262)</x:f>
        <x:v>1</x:v>
      </x:c>
      <x:c r="K1262" s="73" t="n">
        <x:f>IF(J1262=1,INDEX(TrackMap!$I$8:$I$141,H1262),INDEX(TrackMap!$L$8:$L$141,H1262))</x:f>
        <x:v>3117</x:v>
      </x:c>
      <x:c r="L1262" s="73" t="str">
        <x:f>INDEX(TrackMap!$F$8:$F$141,H1262)</x:f>
        <x:v>←</x:v>
      </x:c>
      <x:c r="M1262" s="87" t="n">
        <x:f>MAX(0,G1262/Control!$B$17)</x:f>
        <x:v>1</x:v>
      </x:c>
      <x:c r="N1262" s="73" t="n">
        <x:f>IF(N1256&gt;0,N1256,IF(G1262&gt;=Control!$B$17,A1262,0))</x:f>
        <x:v>194</x:v>
      </x:c>
      <x:c r="O1262" s="91" t="n">
        <x:f>IF(N1262&gt;0,Control!$B$17+Control!$B$8+1-N1262,G1262)-B1262/100000</x:f>
        <x:v>716.99999</x:v>
      </x:c>
      <x:c r="P1262" s="73" t="n">
        <x:f>COUNTIF($O$1262:$O$1267,"&gt;"&amp;O1262)+1</x:f>
        <x:v>1</x:v>
      </x:c>
      <x:c r="Q1262" s="83" t="n">
        <x:f>MAX($G$1262:$G$1267)-G1262</x:f>
        <x:v>0</x:v>
      </x:c>
      <x:c r="R1262" s="73" t="str">
        <x:f>INDEX(TrackMap!$B$8:$B$141,H1262)</x:f>
        <x:v>发车大直道</x:v>
      </x:c>
    </x:row>
    <x:row r="1263" ht="20" customHeight="1">
      <x:c r="A1263" s="73" t="n">
        <x:v>209</x:v>
      </x:c>
      <x:c r="B1263" s="73" t="n">
        <x:v>2</x:v>
      </x:c>
      <x:c r="C1263" s="73" t="str">
        <x:f>INDEX(Drivers!$B$8:$B$13,B1263)</x:f>
        <x:v>蓝电</x:v>
      </x:c>
      <x:c r="D1263" s="83" t="n">
        <x:f>G1257</x:f>
        <x:v>670</x:v>
      </x:c>
      <x:c r="E1263" s="83" t="str">
        <x:f>IF(A1263=0,"GRID",IF(D1263&gt;=Control!$B$17,"FINISHED",IF(AND(A1263&gt;=INDEX(Drivers!$G$8:$G$13,B1263),A1263&lt;INDEX(Drivers!$G$8:$G$13,B1263)+INDEX(Drivers!$J$8:$J$13,B1263)),"PIT",IF(MOD(A1263+INDEX(Drivers!$F$8:$F$13,B1263),Control!$B$11)&lt;Control!$B$13,"BOOST","RACE"))))</x:f>
        <x:v>FINISHED</x:v>
      </x:c>
      <x:c r="F1263" s="83" t="n">
        <x:f>IF(OR(E1263="GRID",E1263="FINISHED",E1263="PIT"),0,MAX(Control!$B$15,(INDEX(Drivers!$D$8:$D$13,B1263)+INDEX(Drivers!$E$8:$E$13,B1263)*SIN((A1263+INDEX(Drivers!$F$8:$F$13,B1263)+Control!$B$16)*Control!$B$14))*INDEX(TrackMap!$M$8:$M$141,MOD(INT(D1263)-1,Control!$B$7)+1)*IF(E1263="BOOST",Control!$B$12,1)))</x:f>
        <x:v>0</x:v>
      </x:c>
      <x:c r="G1263" s="83" t="n">
        <x:f>IF(A1263=0,D1263,MIN(Control!$B$17,D1263+F1263))</x:f>
        <x:v>670</x:v>
      </x:c>
      <x:c r="H1263" s="73" t="n">
        <x:f>MOD(INT(G1263)-1,Control!$B$7)+1</x:f>
        <x:v>134</x:v>
      </x:c>
      <x:c r="I1263" s="73" t="n">
        <x:f>MIN(Control!$B$6,MAX(1,INT(MAX(0,G1263)/Control!$B$7)+1))</x:f>
        <x:v>5</x:v>
      </x:c>
      <x:c r="J1263" s="73" t="n">
        <x:f>INDEX(Drivers!$H$8:$H$13,B1263)</x:f>
        <x:v>2</x:v>
      </x:c>
      <x:c r="K1263" s="73" t="n">
        <x:f>IF(J1263=1,INDEX(TrackMap!$I$8:$I$141,H1263),INDEX(TrackMap!$L$8:$L$141,H1263))</x:f>
        <x:v>3017</x:v>
      </x:c>
      <x:c r="L1263" s="73" t="str">
        <x:f>INDEX(TrackMap!$F$8:$F$141,H1263)</x:f>
        <x:v>←</x:v>
      </x:c>
      <x:c r="M1263" s="87" t="n">
        <x:f>MAX(0,G1263/Control!$B$17)</x:f>
        <x:v>1</x:v>
      </x:c>
      <x:c r="N1263" s="73" t="n">
        <x:f>IF(N1257&gt;0,N1257,IF(G1263&gt;=Control!$B$17,A1263,0))</x:f>
        <x:v>201</x:v>
      </x:c>
      <x:c r="O1263" s="91" t="n">
        <x:f>IF(N1263&gt;0,Control!$B$17+Control!$B$8+1-N1263,G1263)-B1263/100000</x:f>
        <x:v>709.99998</x:v>
      </x:c>
      <x:c r="P1263" s="73" t="n">
        <x:f>COUNTIF($O$1262:$O$1267,"&gt;"&amp;O1263)+1</x:f>
        <x:v>6</x:v>
      </x:c>
      <x:c r="Q1263" s="83" t="n">
        <x:f>MAX($G$1262:$G$1267)-G1263</x:f>
        <x:v>0</x:v>
      </x:c>
      <x:c r="R1263" s="73" t="str">
        <x:f>INDEX(TrackMap!$B$8:$B$141,H1263)</x:f>
        <x:v>发车大直道</x:v>
      </x:c>
    </x:row>
    <x:row r="1264" ht="20" customHeight="1">
      <x:c r="A1264" s="73" t="n">
        <x:v>209</x:v>
      </x:c>
      <x:c r="B1264" s="73" t="n">
        <x:v>3</x:v>
      </x:c>
      <x:c r="C1264" s="73" t="str">
        <x:f>INDEX(Drivers!$B$8:$B$13,B1264)</x:f>
        <x:v>金翼</x:v>
      </x:c>
      <x:c r="D1264" s="83" t="n">
        <x:f>G1258</x:f>
        <x:v>670</x:v>
      </x:c>
      <x:c r="E1264" s="83" t="str">
        <x:f>IF(A1264=0,"GRID",IF(D1264&gt;=Control!$B$17,"FINISHED",IF(AND(A1264&gt;=INDEX(Drivers!$G$8:$G$13,B1264),A1264&lt;INDEX(Drivers!$G$8:$G$13,B1264)+INDEX(Drivers!$J$8:$J$13,B1264)),"PIT",IF(MOD(A1264+INDEX(Drivers!$F$8:$F$13,B1264),Control!$B$11)&lt;Control!$B$13,"BOOST","RACE"))))</x:f>
        <x:v>FINISHED</x:v>
      </x:c>
      <x:c r="F1264" s="83" t="n">
        <x:f>IF(OR(E1264="GRID",E1264="FINISHED",E1264="PIT"),0,MAX(Control!$B$15,(INDEX(Drivers!$D$8:$D$13,B1264)+INDEX(Drivers!$E$8:$E$13,B1264)*SIN((A1264+INDEX(Drivers!$F$8:$F$13,B1264)+Control!$B$16)*Control!$B$14))*INDEX(TrackMap!$M$8:$M$141,MOD(INT(D1264)-1,Control!$B$7)+1)*IF(E1264="BOOST",Control!$B$12,1)))</x:f>
        <x:v>0</x:v>
      </x:c>
      <x:c r="G1264" s="83" t="n">
        <x:f>IF(A1264=0,D1264,MIN(Control!$B$17,D1264+F1264))</x:f>
        <x:v>670</x:v>
      </x:c>
      <x:c r="H1264" s="73" t="n">
        <x:f>MOD(INT(G1264)-1,Control!$B$7)+1</x:f>
        <x:v>134</x:v>
      </x:c>
      <x:c r="I1264" s="73" t="n">
        <x:f>MIN(Control!$B$6,MAX(1,INT(MAX(0,G1264)/Control!$B$7)+1))</x:f>
        <x:v>5</x:v>
      </x:c>
      <x:c r="J1264" s="73" t="n">
        <x:f>INDEX(Drivers!$H$8:$H$13,B1264)</x:f>
        <x:v>1</x:v>
      </x:c>
      <x:c r="K1264" s="73" t="n">
        <x:f>IF(J1264=1,INDEX(TrackMap!$I$8:$I$141,H1264),INDEX(TrackMap!$L$8:$L$141,H1264))</x:f>
        <x:v>3117</x:v>
      </x:c>
      <x:c r="L1264" s="73" t="str">
        <x:f>INDEX(TrackMap!$F$8:$F$141,H1264)</x:f>
        <x:v>←</x:v>
      </x:c>
      <x:c r="M1264" s="87" t="n">
        <x:f>MAX(0,G1264/Control!$B$17)</x:f>
        <x:v>1</x:v>
      </x:c>
      <x:c r="N1264" s="73" t="n">
        <x:f>IF(N1258&gt;0,N1258,IF(G1264&gt;=Control!$B$17,A1264,0))</x:f>
        <x:v>195</x:v>
      </x:c>
      <x:c r="O1264" s="91" t="n">
        <x:f>IF(N1264&gt;0,Control!$B$17+Control!$B$8+1-N1264,G1264)-B1264/100000</x:f>
        <x:v>715.99997</x:v>
      </x:c>
      <x:c r="P1264" s="73" t="n">
        <x:f>COUNTIF($O$1262:$O$1267,"&gt;"&amp;O1264)+1</x:f>
        <x:v>2</x:v>
      </x:c>
      <x:c r="Q1264" s="83" t="n">
        <x:f>MAX($G$1262:$G$1267)-G1264</x:f>
        <x:v>0</x:v>
      </x:c>
      <x:c r="R1264" s="73" t="str">
        <x:f>INDEX(TrackMap!$B$8:$B$141,H1264)</x:f>
        <x:v>发车大直道</x:v>
      </x:c>
    </x:row>
    <x:row r="1265" ht="20" customHeight="1">
      <x:c r="A1265" s="73" t="n">
        <x:v>209</x:v>
      </x:c>
      <x:c r="B1265" s="73" t="n">
        <x:v>4</x:v>
      </x:c>
      <x:c r="C1265" s="73" t="str">
        <x:f>INDEX(Drivers!$B$8:$B$13,B1265)</x:f>
        <x:v>紫影</x:v>
      </x:c>
      <x:c r="D1265" s="83" t="n">
        <x:f>G1259</x:f>
        <x:v>670</x:v>
      </x:c>
      <x:c r="E1265" s="83" t="str">
        <x:f>IF(A1265=0,"GRID",IF(D1265&gt;=Control!$B$17,"FINISHED",IF(AND(A1265&gt;=INDEX(Drivers!$G$8:$G$13,B1265),A1265&lt;INDEX(Drivers!$G$8:$G$13,B1265)+INDEX(Drivers!$J$8:$J$13,B1265)),"PIT",IF(MOD(A1265+INDEX(Drivers!$F$8:$F$13,B1265),Control!$B$11)&lt;Control!$B$13,"BOOST","RACE"))))</x:f>
        <x:v>FINISHED</x:v>
      </x:c>
      <x:c r="F1265" s="83" t="n">
        <x:f>IF(OR(E1265="GRID",E1265="FINISHED",E1265="PIT"),0,MAX(Control!$B$15,(INDEX(Drivers!$D$8:$D$13,B1265)+INDEX(Drivers!$E$8:$E$13,B1265)*SIN((A1265+INDEX(Drivers!$F$8:$F$13,B1265)+Control!$B$16)*Control!$B$14))*INDEX(TrackMap!$M$8:$M$141,MOD(INT(D1265)-1,Control!$B$7)+1)*IF(E1265="BOOST",Control!$B$12,1)))</x:f>
        <x:v>0</x:v>
      </x:c>
      <x:c r="G1265" s="83" t="n">
        <x:f>IF(A1265=0,D1265,MIN(Control!$B$17,D1265+F1265))</x:f>
        <x:v>670</x:v>
      </x:c>
      <x:c r="H1265" s="73" t="n">
        <x:f>MOD(INT(G1265)-1,Control!$B$7)+1</x:f>
        <x:v>134</x:v>
      </x:c>
      <x:c r="I1265" s="73" t="n">
        <x:f>MIN(Control!$B$6,MAX(1,INT(MAX(0,G1265)/Control!$B$7)+1))</x:f>
        <x:v>5</x:v>
      </x:c>
      <x:c r="J1265" s="73" t="n">
        <x:f>INDEX(Drivers!$H$8:$H$13,B1265)</x:f>
        <x:v>2</x:v>
      </x:c>
      <x:c r="K1265" s="73" t="n">
        <x:f>IF(J1265=1,INDEX(TrackMap!$I$8:$I$141,H1265),INDEX(TrackMap!$L$8:$L$141,H1265))</x:f>
        <x:v>3017</x:v>
      </x:c>
      <x:c r="L1265" s="73" t="str">
        <x:f>INDEX(TrackMap!$F$8:$F$141,H1265)</x:f>
        <x:v>←</x:v>
      </x:c>
      <x:c r="M1265" s="87" t="n">
        <x:f>MAX(0,G1265/Control!$B$17)</x:f>
        <x:v>1</x:v>
      </x:c>
      <x:c r="N1265" s="73" t="n">
        <x:f>IF(N1259&gt;0,N1259,IF(G1265&gt;=Control!$B$17,A1265,0))</x:f>
        <x:v>198</x:v>
      </x:c>
      <x:c r="O1265" s="91" t="n">
        <x:f>IF(N1265&gt;0,Control!$B$17+Control!$B$8+1-N1265,G1265)-B1265/100000</x:f>
        <x:v>712.99996</x:v>
      </x:c>
      <x:c r="P1265" s="73" t="n">
        <x:f>COUNTIF($O$1262:$O$1267,"&gt;"&amp;O1265)+1</x:f>
        <x:v>5</x:v>
      </x:c>
      <x:c r="Q1265" s="83" t="n">
        <x:f>MAX($G$1262:$G$1267)-G1265</x:f>
        <x:v>0</x:v>
      </x:c>
      <x:c r="R1265" s="73" t="str">
        <x:f>INDEX(TrackMap!$B$8:$B$141,H1265)</x:f>
        <x:v>发车大直道</x:v>
      </x:c>
    </x:row>
    <x:row r="1266" ht="20" customHeight="1">
      <x:c r="A1266" s="73" t="n">
        <x:v>209</x:v>
      </x:c>
      <x:c r="B1266" s="73" t="n">
        <x:v>5</x:v>
      </x:c>
      <x:c r="C1266" s="73" t="str">
        <x:f>INDEX(Drivers!$B$8:$B$13,B1266)</x:f>
        <x:v>青锋</x:v>
      </x:c>
      <x:c r="D1266" s="83" t="n">
        <x:f>G1260</x:f>
        <x:v>670</x:v>
      </x:c>
      <x:c r="E1266" s="83" t="str">
        <x:f>IF(A1266=0,"GRID",IF(D1266&gt;=Control!$B$17,"FINISHED",IF(AND(A1266&gt;=INDEX(Drivers!$G$8:$G$13,B1266),A1266&lt;INDEX(Drivers!$G$8:$G$13,B1266)+INDEX(Drivers!$J$8:$J$13,B1266)),"PIT",IF(MOD(A1266+INDEX(Drivers!$F$8:$F$13,B1266),Control!$B$11)&lt;Control!$B$13,"BOOST","RACE"))))</x:f>
        <x:v>FINISHED</x:v>
      </x:c>
      <x:c r="F1266" s="83" t="n">
        <x:f>IF(OR(E1266="GRID",E1266="FINISHED",E1266="PIT"),0,MAX(Control!$B$15,(INDEX(Drivers!$D$8:$D$13,B1266)+INDEX(Drivers!$E$8:$E$13,B1266)*SIN((A1266+INDEX(Drivers!$F$8:$F$13,B1266)+Control!$B$16)*Control!$B$14))*INDEX(TrackMap!$M$8:$M$141,MOD(INT(D1266)-1,Control!$B$7)+1)*IF(E1266="BOOST",Control!$B$12,1)))</x:f>
        <x:v>0</x:v>
      </x:c>
      <x:c r="G1266" s="83" t="n">
        <x:f>IF(A1266=0,D1266,MIN(Control!$B$17,D1266+F1266))</x:f>
        <x:v>670</x:v>
      </x:c>
      <x:c r="H1266" s="73" t="n">
        <x:f>MOD(INT(G1266)-1,Control!$B$7)+1</x:f>
        <x:v>134</x:v>
      </x:c>
      <x:c r="I1266" s="73" t="n">
        <x:f>MIN(Control!$B$6,MAX(1,INT(MAX(0,G1266)/Control!$B$7)+1))</x:f>
        <x:v>5</x:v>
      </x:c>
      <x:c r="J1266" s="73" t="n">
        <x:f>INDEX(Drivers!$H$8:$H$13,B1266)</x:f>
        <x:v>1</x:v>
      </x:c>
      <x:c r="K1266" s="73" t="n">
        <x:f>IF(J1266=1,INDEX(TrackMap!$I$8:$I$141,H1266),INDEX(TrackMap!$L$8:$L$141,H1266))</x:f>
        <x:v>3117</x:v>
      </x:c>
      <x:c r="L1266" s="73" t="str">
        <x:f>INDEX(TrackMap!$F$8:$F$141,H1266)</x:f>
        <x:v>←</x:v>
      </x:c>
      <x:c r="M1266" s="87" t="n">
        <x:f>MAX(0,G1266/Control!$B$17)</x:f>
        <x:v>1</x:v>
      </x:c>
      <x:c r="N1266" s="73" t="n">
        <x:f>IF(N1260&gt;0,N1260,IF(G1266&gt;=Control!$B$17,A1266,0))</x:f>
        <x:v>195</x:v>
      </x:c>
      <x:c r="O1266" s="91" t="n">
        <x:f>IF(N1266&gt;0,Control!$B$17+Control!$B$8+1-N1266,G1266)-B1266/100000</x:f>
        <x:v>715.99995</x:v>
      </x:c>
      <x:c r="P1266" s="73" t="n">
        <x:f>COUNTIF($O$1262:$O$1267,"&gt;"&amp;O1266)+1</x:f>
        <x:v>3</x:v>
      </x:c>
      <x:c r="Q1266" s="83" t="n">
        <x:f>MAX($G$1262:$G$1267)-G1266</x:f>
        <x:v>0</x:v>
      </x:c>
      <x:c r="R1266" s="73" t="str">
        <x:f>INDEX(TrackMap!$B$8:$B$141,H1266)</x:f>
        <x:v>发车大直道</x:v>
      </x:c>
    </x:row>
    <x:row r="1267" ht="20" customHeight="1">
      <x:c r="A1267" s="73" t="n">
        <x:v>209</x:v>
      </x:c>
      <x:c r="B1267" s="73" t="n">
        <x:v>6</x:v>
      </x:c>
      <x:c r="C1267" s="73" t="str">
        <x:f>INDEX(Drivers!$B$8:$B$13,B1267)</x:f>
        <x:v>玫速</x:v>
      </x:c>
      <x:c r="D1267" s="83" t="n">
        <x:f>G1261</x:f>
        <x:v>670</x:v>
      </x:c>
      <x:c r="E1267" s="83" t="str">
        <x:f>IF(A1267=0,"GRID",IF(D1267&gt;=Control!$B$17,"FINISHED",IF(AND(A1267&gt;=INDEX(Drivers!$G$8:$G$13,B1267),A1267&lt;INDEX(Drivers!$G$8:$G$13,B1267)+INDEX(Drivers!$J$8:$J$13,B1267)),"PIT",IF(MOD(A1267+INDEX(Drivers!$F$8:$F$13,B1267),Control!$B$11)&lt;Control!$B$13,"BOOST","RACE"))))</x:f>
        <x:v>FINISHED</x:v>
      </x:c>
      <x:c r="F1267" s="83" t="n">
        <x:f>IF(OR(E1267="GRID",E1267="FINISHED",E1267="PIT"),0,MAX(Control!$B$15,(INDEX(Drivers!$D$8:$D$13,B1267)+INDEX(Drivers!$E$8:$E$13,B1267)*SIN((A1267+INDEX(Drivers!$F$8:$F$13,B1267)+Control!$B$16)*Control!$B$14))*INDEX(TrackMap!$M$8:$M$141,MOD(INT(D1267)-1,Control!$B$7)+1)*IF(E1267="BOOST",Control!$B$12,1)))</x:f>
        <x:v>0</x:v>
      </x:c>
      <x:c r="G1267" s="83" t="n">
        <x:f>IF(A1267=0,D1267,MIN(Control!$B$17,D1267+F1267))</x:f>
        <x:v>670</x:v>
      </x:c>
      <x:c r="H1267" s="73" t="n">
        <x:f>MOD(INT(G1267)-1,Control!$B$7)+1</x:f>
        <x:v>134</x:v>
      </x:c>
      <x:c r="I1267" s="73" t="n">
        <x:f>MIN(Control!$B$6,MAX(1,INT(MAX(0,G1267)/Control!$B$7)+1))</x:f>
        <x:v>5</x:v>
      </x:c>
      <x:c r="J1267" s="73" t="n">
        <x:f>INDEX(Drivers!$H$8:$H$13,B1267)</x:f>
        <x:v>2</x:v>
      </x:c>
      <x:c r="K1267" s="73" t="n">
        <x:f>IF(J1267=1,INDEX(TrackMap!$I$8:$I$141,H1267),INDEX(TrackMap!$L$8:$L$141,H1267))</x:f>
        <x:v>3017</x:v>
      </x:c>
      <x:c r="L1267" s="73" t="str">
        <x:f>INDEX(TrackMap!$F$8:$F$141,H1267)</x:f>
        <x:v>←</x:v>
      </x:c>
      <x:c r="M1267" s="87" t="n">
        <x:f>MAX(0,G1267/Control!$B$17)</x:f>
        <x:v>1</x:v>
      </x:c>
      <x:c r="N1267" s="73" t="n">
        <x:f>IF(N1261&gt;0,N1261,IF(G1267&gt;=Control!$B$17,A1267,0))</x:f>
        <x:v>196</x:v>
      </x:c>
      <x:c r="O1267" s="91" t="n">
        <x:f>IF(N1267&gt;0,Control!$B$17+Control!$B$8+1-N1267,G1267)-B1267/100000</x:f>
        <x:v>714.99994</x:v>
      </x:c>
      <x:c r="P1267" s="73" t="n">
        <x:f>COUNTIF($O$1262:$O$1267,"&gt;"&amp;O1267)+1</x:f>
        <x:v>4</x:v>
      </x:c>
      <x:c r="Q1267" s="83" t="n">
        <x:f>MAX($G$1262:$G$1267)-G1267</x:f>
        <x:v>0</x:v>
      </x:c>
      <x:c r="R1267" s="73" t="str">
        <x:f>INDEX(TrackMap!$B$8:$B$141,H1267)</x:f>
        <x:v>发车大直道</x:v>
      </x:c>
    </x:row>
    <x:row r="1268" ht="20" customHeight="1">
      <x:c r="A1268" s="73" t="n">
        <x:v>210</x:v>
      </x:c>
      <x:c r="B1268" s="73" t="n">
        <x:v>1</x:v>
      </x:c>
      <x:c r="C1268" s="73" t="str">
        <x:f>INDEX(Drivers!$B$8:$B$13,B1268)</x:f>
        <x:v>赤焰</x:v>
      </x:c>
      <x:c r="D1268" s="83" t="n">
        <x:f>G1262</x:f>
        <x:v>670</x:v>
      </x:c>
      <x:c r="E1268" s="83" t="str">
        <x:f>IF(A1268=0,"GRID",IF(D1268&gt;=Control!$B$17,"FINISHED",IF(AND(A1268&gt;=INDEX(Drivers!$G$8:$G$13,B1268),A1268&lt;INDEX(Drivers!$G$8:$G$13,B1268)+INDEX(Drivers!$J$8:$J$13,B1268)),"PIT",IF(MOD(A1268+INDEX(Drivers!$F$8:$F$13,B1268),Control!$B$11)&lt;Control!$B$13,"BOOST","RACE"))))</x:f>
        <x:v>FINISHED</x:v>
      </x:c>
      <x:c r="F1268" s="83" t="n">
        <x:f>IF(OR(E1268="GRID",E1268="FINISHED",E1268="PIT"),0,MAX(Control!$B$15,(INDEX(Drivers!$D$8:$D$13,B1268)+INDEX(Drivers!$E$8:$E$13,B1268)*SIN((A1268+INDEX(Drivers!$F$8:$F$13,B1268)+Control!$B$16)*Control!$B$14))*INDEX(TrackMap!$M$8:$M$141,MOD(INT(D1268)-1,Control!$B$7)+1)*IF(E1268="BOOST",Control!$B$12,1)))</x:f>
        <x:v>0</x:v>
      </x:c>
      <x:c r="G1268" s="83" t="n">
        <x:f>IF(A1268=0,D1268,MIN(Control!$B$17,D1268+F1268))</x:f>
        <x:v>670</x:v>
      </x:c>
      <x:c r="H1268" s="73" t="n">
        <x:f>MOD(INT(G1268)-1,Control!$B$7)+1</x:f>
        <x:v>134</x:v>
      </x:c>
      <x:c r="I1268" s="73" t="n">
        <x:f>MIN(Control!$B$6,MAX(1,INT(MAX(0,G1268)/Control!$B$7)+1))</x:f>
        <x:v>5</x:v>
      </x:c>
      <x:c r="J1268" s="73" t="n">
        <x:f>INDEX(Drivers!$H$8:$H$13,B1268)</x:f>
        <x:v>1</x:v>
      </x:c>
      <x:c r="K1268" s="73" t="n">
        <x:f>IF(J1268=1,INDEX(TrackMap!$I$8:$I$141,H1268),INDEX(TrackMap!$L$8:$L$141,H1268))</x:f>
        <x:v>3117</x:v>
      </x:c>
      <x:c r="L1268" s="73" t="str">
        <x:f>INDEX(TrackMap!$F$8:$F$141,H1268)</x:f>
        <x:v>←</x:v>
      </x:c>
      <x:c r="M1268" s="87" t="n">
        <x:f>MAX(0,G1268/Control!$B$17)</x:f>
        <x:v>1</x:v>
      </x:c>
      <x:c r="N1268" s="73" t="n">
        <x:f>IF(N1262&gt;0,N1262,IF(G1268&gt;=Control!$B$17,A1268,0))</x:f>
        <x:v>194</x:v>
      </x:c>
      <x:c r="O1268" s="91" t="n">
        <x:f>IF(N1268&gt;0,Control!$B$17+Control!$B$8+1-N1268,G1268)-B1268/100000</x:f>
        <x:v>716.99999</x:v>
      </x:c>
      <x:c r="P1268" s="73" t="n">
        <x:f>COUNTIF($O$1268:$O$1273,"&gt;"&amp;O1268)+1</x:f>
        <x:v>1</x:v>
      </x:c>
      <x:c r="Q1268" s="83" t="n">
        <x:f>MAX($G$1268:$G$1273)-G1268</x:f>
        <x:v>0</x:v>
      </x:c>
      <x:c r="R1268" s="73" t="str">
        <x:f>INDEX(TrackMap!$B$8:$B$141,H1268)</x:f>
        <x:v>发车大直道</x:v>
      </x:c>
    </x:row>
    <x:row r="1269" ht="20" customHeight="1">
      <x:c r="A1269" s="73" t="n">
        <x:v>210</x:v>
      </x:c>
      <x:c r="B1269" s="73" t="n">
        <x:v>2</x:v>
      </x:c>
      <x:c r="C1269" s="73" t="str">
        <x:f>INDEX(Drivers!$B$8:$B$13,B1269)</x:f>
        <x:v>蓝电</x:v>
      </x:c>
      <x:c r="D1269" s="83" t="n">
        <x:f>G1263</x:f>
        <x:v>670</x:v>
      </x:c>
      <x:c r="E1269" s="83" t="str">
        <x:f>IF(A1269=0,"GRID",IF(D1269&gt;=Control!$B$17,"FINISHED",IF(AND(A1269&gt;=INDEX(Drivers!$G$8:$G$13,B1269),A1269&lt;INDEX(Drivers!$G$8:$G$13,B1269)+INDEX(Drivers!$J$8:$J$13,B1269)),"PIT",IF(MOD(A1269+INDEX(Drivers!$F$8:$F$13,B1269),Control!$B$11)&lt;Control!$B$13,"BOOST","RACE"))))</x:f>
        <x:v>FINISHED</x:v>
      </x:c>
      <x:c r="F1269" s="83" t="n">
        <x:f>IF(OR(E1269="GRID",E1269="FINISHED",E1269="PIT"),0,MAX(Control!$B$15,(INDEX(Drivers!$D$8:$D$13,B1269)+INDEX(Drivers!$E$8:$E$13,B1269)*SIN((A1269+INDEX(Drivers!$F$8:$F$13,B1269)+Control!$B$16)*Control!$B$14))*INDEX(TrackMap!$M$8:$M$141,MOD(INT(D1269)-1,Control!$B$7)+1)*IF(E1269="BOOST",Control!$B$12,1)))</x:f>
        <x:v>0</x:v>
      </x:c>
      <x:c r="G1269" s="83" t="n">
        <x:f>IF(A1269=0,D1269,MIN(Control!$B$17,D1269+F1269))</x:f>
        <x:v>670</x:v>
      </x:c>
      <x:c r="H1269" s="73" t="n">
        <x:f>MOD(INT(G1269)-1,Control!$B$7)+1</x:f>
        <x:v>134</x:v>
      </x:c>
      <x:c r="I1269" s="73" t="n">
        <x:f>MIN(Control!$B$6,MAX(1,INT(MAX(0,G1269)/Control!$B$7)+1))</x:f>
        <x:v>5</x:v>
      </x:c>
      <x:c r="J1269" s="73" t="n">
        <x:f>INDEX(Drivers!$H$8:$H$13,B1269)</x:f>
        <x:v>2</x:v>
      </x:c>
      <x:c r="K1269" s="73" t="n">
        <x:f>IF(J1269=1,INDEX(TrackMap!$I$8:$I$141,H1269),INDEX(TrackMap!$L$8:$L$141,H1269))</x:f>
        <x:v>3017</x:v>
      </x:c>
      <x:c r="L1269" s="73" t="str">
        <x:f>INDEX(TrackMap!$F$8:$F$141,H1269)</x:f>
        <x:v>←</x:v>
      </x:c>
      <x:c r="M1269" s="87" t="n">
        <x:f>MAX(0,G1269/Control!$B$17)</x:f>
        <x:v>1</x:v>
      </x:c>
      <x:c r="N1269" s="73" t="n">
        <x:f>IF(N1263&gt;0,N1263,IF(G1269&gt;=Control!$B$17,A1269,0))</x:f>
        <x:v>201</x:v>
      </x:c>
      <x:c r="O1269" s="91" t="n">
        <x:f>IF(N1269&gt;0,Control!$B$17+Control!$B$8+1-N1269,G1269)-B1269/100000</x:f>
        <x:v>709.99998</x:v>
      </x:c>
      <x:c r="P1269" s="73" t="n">
        <x:f>COUNTIF($O$1268:$O$1273,"&gt;"&amp;O1269)+1</x:f>
        <x:v>6</x:v>
      </x:c>
      <x:c r="Q1269" s="83" t="n">
        <x:f>MAX($G$1268:$G$1273)-G1269</x:f>
        <x:v>0</x:v>
      </x:c>
      <x:c r="R1269" s="73" t="str">
        <x:f>INDEX(TrackMap!$B$8:$B$141,H1269)</x:f>
        <x:v>发车大直道</x:v>
      </x:c>
    </x:row>
    <x:row r="1270" ht="20" customHeight="1">
      <x:c r="A1270" s="73" t="n">
        <x:v>210</x:v>
      </x:c>
      <x:c r="B1270" s="73" t="n">
        <x:v>3</x:v>
      </x:c>
      <x:c r="C1270" s="73" t="str">
        <x:f>INDEX(Drivers!$B$8:$B$13,B1270)</x:f>
        <x:v>金翼</x:v>
      </x:c>
      <x:c r="D1270" s="83" t="n">
        <x:f>G1264</x:f>
        <x:v>670</x:v>
      </x:c>
      <x:c r="E1270" s="83" t="str">
        <x:f>IF(A1270=0,"GRID",IF(D1270&gt;=Control!$B$17,"FINISHED",IF(AND(A1270&gt;=INDEX(Drivers!$G$8:$G$13,B1270),A1270&lt;INDEX(Drivers!$G$8:$G$13,B1270)+INDEX(Drivers!$J$8:$J$13,B1270)),"PIT",IF(MOD(A1270+INDEX(Drivers!$F$8:$F$13,B1270),Control!$B$11)&lt;Control!$B$13,"BOOST","RACE"))))</x:f>
        <x:v>FINISHED</x:v>
      </x:c>
      <x:c r="F1270" s="83" t="n">
        <x:f>IF(OR(E1270="GRID",E1270="FINISHED",E1270="PIT"),0,MAX(Control!$B$15,(INDEX(Drivers!$D$8:$D$13,B1270)+INDEX(Drivers!$E$8:$E$13,B1270)*SIN((A1270+INDEX(Drivers!$F$8:$F$13,B1270)+Control!$B$16)*Control!$B$14))*INDEX(TrackMap!$M$8:$M$141,MOD(INT(D1270)-1,Control!$B$7)+1)*IF(E1270="BOOST",Control!$B$12,1)))</x:f>
        <x:v>0</x:v>
      </x:c>
      <x:c r="G1270" s="83" t="n">
        <x:f>IF(A1270=0,D1270,MIN(Control!$B$17,D1270+F1270))</x:f>
        <x:v>670</x:v>
      </x:c>
      <x:c r="H1270" s="73" t="n">
        <x:f>MOD(INT(G1270)-1,Control!$B$7)+1</x:f>
        <x:v>134</x:v>
      </x:c>
      <x:c r="I1270" s="73" t="n">
        <x:f>MIN(Control!$B$6,MAX(1,INT(MAX(0,G1270)/Control!$B$7)+1))</x:f>
        <x:v>5</x:v>
      </x:c>
      <x:c r="J1270" s="73" t="n">
        <x:f>INDEX(Drivers!$H$8:$H$13,B1270)</x:f>
        <x:v>1</x:v>
      </x:c>
      <x:c r="K1270" s="73" t="n">
        <x:f>IF(J1270=1,INDEX(TrackMap!$I$8:$I$141,H1270),INDEX(TrackMap!$L$8:$L$141,H1270))</x:f>
        <x:v>3117</x:v>
      </x:c>
      <x:c r="L1270" s="73" t="str">
        <x:f>INDEX(TrackMap!$F$8:$F$141,H1270)</x:f>
        <x:v>←</x:v>
      </x:c>
      <x:c r="M1270" s="87" t="n">
        <x:f>MAX(0,G1270/Control!$B$17)</x:f>
        <x:v>1</x:v>
      </x:c>
      <x:c r="N1270" s="73" t="n">
        <x:f>IF(N1264&gt;0,N1264,IF(G1270&gt;=Control!$B$17,A1270,0))</x:f>
        <x:v>195</x:v>
      </x:c>
      <x:c r="O1270" s="91" t="n">
        <x:f>IF(N1270&gt;0,Control!$B$17+Control!$B$8+1-N1270,G1270)-B1270/100000</x:f>
        <x:v>715.99997</x:v>
      </x:c>
      <x:c r="P1270" s="73" t="n">
        <x:f>COUNTIF($O$1268:$O$1273,"&gt;"&amp;O1270)+1</x:f>
        <x:v>2</x:v>
      </x:c>
      <x:c r="Q1270" s="83" t="n">
        <x:f>MAX($G$1268:$G$1273)-G1270</x:f>
        <x:v>0</x:v>
      </x:c>
      <x:c r="R1270" s="73" t="str">
        <x:f>INDEX(TrackMap!$B$8:$B$141,H1270)</x:f>
        <x:v>发车大直道</x:v>
      </x:c>
    </x:row>
    <x:row r="1271" ht="20" customHeight="1">
      <x:c r="A1271" s="73" t="n">
        <x:v>210</x:v>
      </x:c>
      <x:c r="B1271" s="73" t="n">
        <x:v>4</x:v>
      </x:c>
      <x:c r="C1271" s="73" t="str">
        <x:f>INDEX(Drivers!$B$8:$B$13,B1271)</x:f>
        <x:v>紫影</x:v>
      </x:c>
      <x:c r="D1271" s="83" t="n">
        <x:f>G1265</x:f>
        <x:v>670</x:v>
      </x:c>
      <x:c r="E1271" s="83" t="str">
        <x:f>IF(A1271=0,"GRID",IF(D1271&gt;=Control!$B$17,"FINISHED",IF(AND(A1271&gt;=INDEX(Drivers!$G$8:$G$13,B1271),A1271&lt;INDEX(Drivers!$G$8:$G$13,B1271)+INDEX(Drivers!$J$8:$J$13,B1271)),"PIT",IF(MOD(A1271+INDEX(Drivers!$F$8:$F$13,B1271),Control!$B$11)&lt;Control!$B$13,"BOOST","RACE"))))</x:f>
        <x:v>FINISHED</x:v>
      </x:c>
      <x:c r="F1271" s="83" t="n">
        <x:f>IF(OR(E1271="GRID",E1271="FINISHED",E1271="PIT"),0,MAX(Control!$B$15,(INDEX(Drivers!$D$8:$D$13,B1271)+INDEX(Drivers!$E$8:$E$13,B1271)*SIN((A1271+INDEX(Drivers!$F$8:$F$13,B1271)+Control!$B$16)*Control!$B$14))*INDEX(TrackMap!$M$8:$M$141,MOD(INT(D1271)-1,Control!$B$7)+1)*IF(E1271="BOOST",Control!$B$12,1)))</x:f>
        <x:v>0</x:v>
      </x:c>
      <x:c r="G1271" s="83" t="n">
        <x:f>IF(A1271=0,D1271,MIN(Control!$B$17,D1271+F1271))</x:f>
        <x:v>670</x:v>
      </x:c>
      <x:c r="H1271" s="73" t="n">
        <x:f>MOD(INT(G1271)-1,Control!$B$7)+1</x:f>
        <x:v>134</x:v>
      </x:c>
      <x:c r="I1271" s="73" t="n">
        <x:f>MIN(Control!$B$6,MAX(1,INT(MAX(0,G1271)/Control!$B$7)+1))</x:f>
        <x:v>5</x:v>
      </x:c>
      <x:c r="J1271" s="73" t="n">
        <x:f>INDEX(Drivers!$H$8:$H$13,B1271)</x:f>
        <x:v>2</x:v>
      </x:c>
      <x:c r="K1271" s="73" t="n">
        <x:f>IF(J1271=1,INDEX(TrackMap!$I$8:$I$141,H1271),INDEX(TrackMap!$L$8:$L$141,H1271))</x:f>
        <x:v>3017</x:v>
      </x:c>
      <x:c r="L1271" s="73" t="str">
        <x:f>INDEX(TrackMap!$F$8:$F$141,H1271)</x:f>
        <x:v>←</x:v>
      </x:c>
      <x:c r="M1271" s="87" t="n">
        <x:f>MAX(0,G1271/Control!$B$17)</x:f>
        <x:v>1</x:v>
      </x:c>
      <x:c r="N1271" s="73" t="n">
        <x:f>IF(N1265&gt;0,N1265,IF(G1271&gt;=Control!$B$17,A1271,0))</x:f>
        <x:v>198</x:v>
      </x:c>
      <x:c r="O1271" s="91" t="n">
        <x:f>IF(N1271&gt;0,Control!$B$17+Control!$B$8+1-N1271,G1271)-B1271/100000</x:f>
        <x:v>712.99996</x:v>
      </x:c>
      <x:c r="P1271" s="73" t="n">
        <x:f>COUNTIF($O$1268:$O$1273,"&gt;"&amp;O1271)+1</x:f>
        <x:v>5</x:v>
      </x:c>
      <x:c r="Q1271" s="83" t="n">
        <x:f>MAX($G$1268:$G$1273)-G1271</x:f>
        <x:v>0</x:v>
      </x:c>
      <x:c r="R1271" s="73" t="str">
        <x:f>INDEX(TrackMap!$B$8:$B$141,H1271)</x:f>
        <x:v>发车大直道</x:v>
      </x:c>
    </x:row>
    <x:row r="1272" ht="20" customHeight="1">
      <x:c r="A1272" s="73" t="n">
        <x:v>210</x:v>
      </x:c>
      <x:c r="B1272" s="73" t="n">
        <x:v>5</x:v>
      </x:c>
      <x:c r="C1272" s="73" t="str">
        <x:f>INDEX(Drivers!$B$8:$B$13,B1272)</x:f>
        <x:v>青锋</x:v>
      </x:c>
      <x:c r="D1272" s="83" t="n">
        <x:f>G1266</x:f>
        <x:v>670</x:v>
      </x:c>
      <x:c r="E1272" s="83" t="str">
        <x:f>IF(A1272=0,"GRID",IF(D1272&gt;=Control!$B$17,"FINISHED",IF(AND(A1272&gt;=INDEX(Drivers!$G$8:$G$13,B1272),A1272&lt;INDEX(Drivers!$G$8:$G$13,B1272)+INDEX(Drivers!$J$8:$J$13,B1272)),"PIT",IF(MOD(A1272+INDEX(Drivers!$F$8:$F$13,B1272),Control!$B$11)&lt;Control!$B$13,"BOOST","RACE"))))</x:f>
        <x:v>FINISHED</x:v>
      </x:c>
      <x:c r="F1272" s="83" t="n">
        <x:f>IF(OR(E1272="GRID",E1272="FINISHED",E1272="PIT"),0,MAX(Control!$B$15,(INDEX(Drivers!$D$8:$D$13,B1272)+INDEX(Drivers!$E$8:$E$13,B1272)*SIN((A1272+INDEX(Drivers!$F$8:$F$13,B1272)+Control!$B$16)*Control!$B$14))*INDEX(TrackMap!$M$8:$M$141,MOD(INT(D1272)-1,Control!$B$7)+1)*IF(E1272="BOOST",Control!$B$12,1)))</x:f>
        <x:v>0</x:v>
      </x:c>
      <x:c r="G1272" s="83" t="n">
        <x:f>IF(A1272=0,D1272,MIN(Control!$B$17,D1272+F1272))</x:f>
        <x:v>670</x:v>
      </x:c>
      <x:c r="H1272" s="73" t="n">
        <x:f>MOD(INT(G1272)-1,Control!$B$7)+1</x:f>
        <x:v>134</x:v>
      </x:c>
      <x:c r="I1272" s="73" t="n">
        <x:f>MIN(Control!$B$6,MAX(1,INT(MAX(0,G1272)/Control!$B$7)+1))</x:f>
        <x:v>5</x:v>
      </x:c>
      <x:c r="J1272" s="73" t="n">
        <x:f>INDEX(Drivers!$H$8:$H$13,B1272)</x:f>
        <x:v>1</x:v>
      </x:c>
      <x:c r="K1272" s="73" t="n">
        <x:f>IF(J1272=1,INDEX(TrackMap!$I$8:$I$141,H1272),INDEX(TrackMap!$L$8:$L$141,H1272))</x:f>
        <x:v>3117</x:v>
      </x:c>
      <x:c r="L1272" s="73" t="str">
        <x:f>INDEX(TrackMap!$F$8:$F$141,H1272)</x:f>
        <x:v>←</x:v>
      </x:c>
      <x:c r="M1272" s="87" t="n">
        <x:f>MAX(0,G1272/Control!$B$17)</x:f>
        <x:v>1</x:v>
      </x:c>
      <x:c r="N1272" s="73" t="n">
        <x:f>IF(N1266&gt;0,N1266,IF(G1272&gt;=Control!$B$17,A1272,0))</x:f>
        <x:v>195</x:v>
      </x:c>
      <x:c r="O1272" s="91" t="n">
        <x:f>IF(N1272&gt;0,Control!$B$17+Control!$B$8+1-N1272,G1272)-B1272/100000</x:f>
        <x:v>715.99995</x:v>
      </x:c>
      <x:c r="P1272" s="73" t="n">
        <x:f>COUNTIF($O$1268:$O$1273,"&gt;"&amp;O1272)+1</x:f>
        <x:v>3</x:v>
      </x:c>
      <x:c r="Q1272" s="83" t="n">
        <x:f>MAX($G$1268:$G$1273)-G1272</x:f>
        <x:v>0</x:v>
      </x:c>
      <x:c r="R1272" s="73" t="str">
        <x:f>INDEX(TrackMap!$B$8:$B$141,H1272)</x:f>
        <x:v>发车大直道</x:v>
      </x:c>
    </x:row>
    <x:row r="1273" ht="20" customHeight="1">
      <x:c r="A1273" s="73" t="n">
        <x:v>210</x:v>
      </x:c>
      <x:c r="B1273" s="73" t="n">
        <x:v>6</x:v>
      </x:c>
      <x:c r="C1273" s="73" t="str">
        <x:f>INDEX(Drivers!$B$8:$B$13,B1273)</x:f>
        <x:v>玫速</x:v>
      </x:c>
      <x:c r="D1273" s="83" t="n">
        <x:f>G1267</x:f>
        <x:v>670</x:v>
      </x:c>
      <x:c r="E1273" s="83" t="str">
        <x:f>IF(A1273=0,"GRID",IF(D1273&gt;=Control!$B$17,"FINISHED",IF(AND(A1273&gt;=INDEX(Drivers!$G$8:$G$13,B1273),A1273&lt;INDEX(Drivers!$G$8:$G$13,B1273)+INDEX(Drivers!$J$8:$J$13,B1273)),"PIT",IF(MOD(A1273+INDEX(Drivers!$F$8:$F$13,B1273),Control!$B$11)&lt;Control!$B$13,"BOOST","RACE"))))</x:f>
        <x:v>FINISHED</x:v>
      </x:c>
      <x:c r="F1273" s="83" t="n">
        <x:f>IF(OR(E1273="GRID",E1273="FINISHED",E1273="PIT"),0,MAX(Control!$B$15,(INDEX(Drivers!$D$8:$D$13,B1273)+INDEX(Drivers!$E$8:$E$13,B1273)*SIN((A1273+INDEX(Drivers!$F$8:$F$13,B1273)+Control!$B$16)*Control!$B$14))*INDEX(TrackMap!$M$8:$M$141,MOD(INT(D1273)-1,Control!$B$7)+1)*IF(E1273="BOOST",Control!$B$12,1)))</x:f>
        <x:v>0</x:v>
      </x:c>
      <x:c r="G1273" s="83" t="n">
        <x:f>IF(A1273=0,D1273,MIN(Control!$B$17,D1273+F1273))</x:f>
        <x:v>670</x:v>
      </x:c>
      <x:c r="H1273" s="73" t="n">
        <x:f>MOD(INT(G1273)-1,Control!$B$7)+1</x:f>
        <x:v>134</x:v>
      </x:c>
      <x:c r="I1273" s="73" t="n">
        <x:f>MIN(Control!$B$6,MAX(1,INT(MAX(0,G1273)/Control!$B$7)+1))</x:f>
        <x:v>5</x:v>
      </x:c>
      <x:c r="J1273" s="73" t="n">
        <x:f>INDEX(Drivers!$H$8:$H$13,B1273)</x:f>
        <x:v>2</x:v>
      </x:c>
      <x:c r="K1273" s="73" t="n">
        <x:f>IF(J1273=1,INDEX(TrackMap!$I$8:$I$141,H1273),INDEX(TrackMap!$L$8:$L$141,H1273))</x:f>
        <x:v>3017</x:v>
      </x:c>
      <x:c r="L1273" s="73" t="str">
        <x:f>INDEX(TrackMap!$F$8:$F$141,H1273)</x:f>
        <x:v>←</x:v>
      </x:c>
      <x:c r="M1273" s="87" t="n">
        <x:f>MAX(0,G1273/Control!$B$17)</x:f>
        <x:v>1</x:v>
      </x:c>
      <x:c r="N1273" s="73" t="n">
        <x:f>IF(N1267&gt;0,N1267,IF(G1273&gt;=Control!$B$17,A1273,0))</x:f>
        <x:v>196</x:v>
      </x:c>
      <x:c r="O1273" s="91" t="n">
        <x:f>IF(N1273&gt;0,Control!$B$17+Control!$B$8+1-N1273,G1273)-B1273/100000</x:f>
        <x:v>714.99994</x:v>
      </x:c>
      <x:c r="P1273" s="73" t="n">
        <x:f>COUNTIF($O$1268:$O$1273,"&gt;"&amp;O1273)+1</x:f>
        <x:v>4</x:v>
      </x:c>
      <x:c r="Q1273" s="83" t="n">
        <x:f>MAX($G$1268:$G$1273)-G1273</x:f>
        <x:v>0</x:v>
      </x:c>
      <x:c r="R1273" s="73" t="str">
        <x:f>INDEX(TrackMap!$B$8:$B$141,H1273)</x:f>
        <x:v>发车大直道</x:v>
      </x:c>
    </x:row>
    <x:row r="1274" ht="20" customHeight="1">
      <x:c r="A1274" s="73" t="n">
        <x:v>211</x:v>
      </x:c>
      <x:c r="B1274" s="73" t="n">
        <x:v>1</x:v>
      </x:c>
      <x:c r="C1274" s="73" t="str">
        <x:f>INDEX(Drivers!$B$8:$B$13,B1274)</x:f>
        <x:v>赤焰</x:v>
      </x:c>
      <x:c r="D1274" s="83" t="n">
        <x:f>G1268</x:f>
        <x:v>670</x:v>
      </x:c>
      <x:c r="E1274" s="83" t="str">
        <x:f>IF(A1274=0,"GRID",IF(D1274&gt;=Control!$B$17,"FINISHED",IF(AND(A1274&gt;=INDEX(Drivers!$G$8:$G$13,B1274),A1274&lt;INDEX(Drivers!$G$8:$G$13,B1274)+INDEX(Drivers!$J$8:$J$13,B1274)),"PIT",IF(MOD(A1274+INDEX(Drivers!$F$8:$F$13,B1274),Control!$B$11)&lt;Control!$B$13,"BOOST","RACE"))))</x:f>
        <x:v>FINISHED</x:v>
      </x:c>
      <x:c r="F1274" s="83" t="n">
        <x:f>IF(OR(E1274="GRID",E1274="FINISHED",E1274="PIT"),0,MAX(Control!$B$15,(INDEX(Drivers!$D$8:$D$13,B1274)+INDEX(Drivers!$E$8:$E$13,B1274)*SIN((A1274+INDEX(Drivers!$F$8:$F$13,B1274)+Control!$B$16)*Control!$B$14))*INDEX(TrackMap!$M$8:$M$141,MOD(INT(D1274)-1,Control!$B$7)+1)*IF(E1274="BOOST",Control!$B$12,1)))</x:f>
        <x:v>0</x:v>
      </x:c>
      <x:c r="G1274" s="83" t="n">
        <x:f>IF(A1274=0,D1274,MIN(Control!$B$17,D1274+F1274))</x:f>
        <x:v>670</x:v>
      </x:c>
      <x:c r="H1274" s="73" t="n">
        <x:f>MOD(INT(G1274)-1,Control!$B$7)+1</x:f>
        <x:v>134</x:v>
      </x:c>
      <x:c r="I1274" s="73" t="n">
        <x:f>MIN(Control!$B$6,MAX(1,INT(MAX(0,G1274)/Control!$B$7)+1))</x:f>
        <x:v>5</x:v>
      </x:c>
      <x:c r="J1274" s="73" t="n">
        <x:f>INDEX(Drivers!$H$8:$H$13,B1274)</x:f>
        <x:v>1</x:v>
      </x:c>
      <x:c r="K1274" s="73" t="n">
        <x:f>IF(J1274=1,INDEX(TrackMap!$I$8:$I$141,H1274),INDEX(TrackMap!$L$8:$L$141,H1274))</x:f>
        <x:v>3117</x:v>
      </x:c>
      <x:c r="L1274" s="73" t="str">
        <x:f>INDEX(TrackMap!$F$8:$F$141,H1274)</x:f>
        <x:v>←</x:v>
      </x:c>
      <x:c r="M1274" s="87" t="n">
        <x:f>MAX(0,G1274/Control!$B$17)</x:f>
        <x:v>1</x:v>
      </x:c>
      <x:c r="N1274" s="73" t="n">
        <x:f>IF(N1268&gt;0,N1268,IF(G1274&gt;=Control!$B$17,A1274,0))</x:f>
        <x:v>194</x:v>
      </x:c>
      <x:c r="O1274" s="91" t="n">
        <x:f>IF(N1274&gt;0,Control!$B$17+Control!$B$8+1-N1274,G1274)-B1274/100000</x:f>
        <x:v>716.99999</x:v>
      </x:c>
      <x:c r="P1274" s="73" t="n">
        <x:f>COUNTIF($O$1274:$O$1279,"&gt;"&amp;O1274)+1</x:f>
        <x:v>1</x:v>
      </x:c>
      <x:c r="Q1274" s="83" t="n">
        <x:f>MAX($G$1274:$G$1279)-G1274</x:f>
        <x:v>0</x:v>
      </x:c>
      <x:c r="R1274" s="73" t="str">
        <x:f>INDEX(TrackMap!$B$8:$B$141,H1274)</x:f>
        <x:v>发车大直道</x:v>
      </x:c>
    </x:row>
    <x:row r="1275" ht="20" customHeight="1">
      <x:c r="A1275" s="73" t="n">
        <x:v>211</x:v>
      </x:c>
      <x:c r="B1275" s="73" t="n">
        <x:v>2</x:v>
      </x:c>
      <x:c r="C1275" s="73" t="str">
        <x:f>INDEX(Drivers!$B$8:$B$13,B1275)</x:f>
        <x:v>蓝电</x:v>
      </x:c>
      <x:c r="D1275" s="83" t="n">
        <x:f>G1269</x:f>
        <x:v>670</x:v>
      </x:c>
      <x:c r="E1275" s="83" t="str">
        <x:f>IF(A1275=0,"GRID",IF(D1275&gt;=Control!$B$17,"FINISHED",IF(AND(A1275&gt;=INDEX(Drivers!$G$8:$G$13,B1275),A1275&lt;INDEX(Drivers!$G$8:$G$13,B1275)+INDEX(Drivers!$J$8:$J$13,B1275)),"PIT",IF(MOD(A1275+INDEX(Drivers!$F$8:$F$13,B1275),Control!$B$11)&lt;Control!$B$13,"BOOST","RACE"))))</x:f>
        <x:v>FINISHED</x:v>
      </x:c>
      <x:c r="F1275" s="83" t="n">
        <x:f>IF(OR(E1275="GRID",E1275="FINISHED",E1275="PIT"),0,MAX(Control!$B$15,(INDEX(Drivers!$D$8:$D$13,B1275)+INDEX(Drivers!$E$8:$E$13,B1275)*SIN((A1275+INDEX(Drivers!$F$8:$F$13,B1275)+Control!$B$16)*Control!$B$14))*INDEX(TrackMap!$M$8:$M$141,MOD(INT(D1275)-1,Control!$B$7)+1)*IF(E1275="BOOST",Control!$B$12,1)))</x:f>
        <x:v>0</x:v>
      </x:c>
      <x:c r="G1275" s="83" t="n">
        <x:f>IF(A1275=0,D1275,MIN(Control!$B$17,D1275+F1275))</x:f>
        <x:v>670</x:v>
      </x:c>
      <x:c r="H1275" s="73" t="n">
        <x:f>MOD(INT(G1275)-1,Control!$B$7)+1</x:f>
        <x:v>134</x:v>
      </x:c>
      <x:c r="I1275" s="73" t="n">
        <x:f>MIN(Control!$B$6,MAX(1,INT(MAX(0,G1275)/Control!$B$7)+1))</x:f>
        <x:v>5</x:v>
      </x:c>
      <x:c r="J1275" s="73" t="n">
        <x:f>INDEX(Drivers!$H$8:$H$13,B1275)</x:f>
        <x:v>2</x:v>
      </x:c>
      <x:c r="K1275" s="73" t="n">
        <x:f>IF(J1275=1,INDEX(TrackMap!$I$8:$I$141,H1275),INDEX(TrackMap!$L$8:$L$141,H1275))</x:f>
        <x:v>3017</x:v>
      </x:c>
      <x:c r="L1275" s="73" t="str">
        <x:f>INDEX(TrackMap!$F$8:$F$141,H1275)</x:f>
        <x:v>←</x:v>
      </x:c>
      <x:c r="M1275" s="87" t="n">
        <x:f>MAX(0,G1275/Control!$B$17)</x:f>
        <x:v>1</x:v>
      </x:c>
      <x:c r="N1275" s="73" t="n">
        <x:f>IF(N1269&gt;0,N1269,IF(G1275&gt;=Control!$B$17,A1275,0))</x:f>
        <x:v>201</x:v>
      </x:c>
      <x:c r="O1275" s="91" t="n">
        <x:f>IF(N1275&gt;0,Control!$B$17+Control!$B$8+1-N1275,G1275)-B1275/100000</x:f>
        <x:v>709.99998</x:v>
      </x:c>
      <x:c r="P1275" s="73" t="n">
        <x:f>COUNTIF($O$1274:$O$1279,"&gt;"&amp;O1275)+1</x:f>
        <x:v>6</x:v>
      </x:c>
      <x:c r="Q1275" s="83" t="n">
        <x:f>MAX($G$1274:$G$1279)-G1275</x:f>
        <x:v>0</x:v>
      </x:c>
      <x:c r="R1275" s="73" t="str">
        <x:f>INDEX(TrackMap!$B$8:$B$141,H1275)</x:f>
        <x:v>发车大直道</x:v>
      </x:c>
    </x:row>
    <x:row r="1276" ht="20" customHeight="1">
      <x:c r="A1276" s="73" t="n">
        <x:v>211</x:v>
      </x:c>
      <x:c r="B1276" s="73" t="n">
        <x:v>3</x:v>
      </x:c>
      <x:c r="C1276" s="73" t="str">
        <x:f>INDEX(Drivers!$B$8:$B$13,B1276)</x:f>
        <x:v>金翼</x:v>
      </x:c>
      <x:c r="D1276" s="83" t="n">
        <x:f>G1270</x:f>
        <x:v>670</x:v>
      </x:c>
      <x:c r="E1276" s="83" t="str">
        <x:f>IF(A1276=0,"GRID",IF(D1276&gt;=Control!$B$17,"FINISHED",IF(AND(A1276&gt;=INDEX(Drivers!$G$8:$G$13,B1276),A1276&lt;INDEX(Drivers!$G$8:$G$13,B1276)+INDEX(Drivers!$J$8:$J$13,B1276)),"PIT",IF(MOD(A1276+INDEX(Drivers!$F$8:$F$13,B1276),Control!$B$11)&lt;Control!$B$13,"BOOST","RACE"))))</x:f>
        <x:v>FINISHED</x:v>
      </x:c>
      <x:c r="F1276" s="83" t="n">
        <x:f>IF(OR(E1276="GRID",E1276="FINISHED",E1276="PIT"),0,MAX(Control!$B$15,(INDEX(Drivers!$D$8:$D$13,B1276)+INDEX(Drivers!$E$8:$E$13,B1276)*SIN((A1276+INDEX(Drivers!$F$8:$F$13,B1276)+Control!$B$16)*Control!$B$14))*INDEX(TrackMap!$M$8:$M$141,MOD(INT(D1276)-1,Control!$B$7)+1)*IF(E1276="BOOST",Control!$B$12,1)))</x:f>
        <x:v>0</x:v>
      </x:c>
      <x:c r="G1276" s="83" t="n">
        <x:f>IF(A1276=0,D1276,MIN(Control!$B$17,D1276+F1276))</x:f>
        <x:v>670</x:v>
      </x:c>
      <x:c r="H1276" s="73" t="n">
        <x:f>MOD(INT(G1276)-1,Control!$B$7)+1</x:f>
        <x:v>134</x:v>
      </x:c>
      <x:c r="I1276" s="73" t="n">
        <x:f>MIN(Control!$B$6,MAX(1,INT(MAX(0,G1276)/Control!$B$7)+1))</x:f>
        <x:v>5</x:v>
      </x:c>
      <x:c r="J1276" s="73" t="n">
        <x:f>INDEX(Drivers!$H$8:$H$13,B1276)</x:f>
        <x:v>1</x:v>
      </x:c>
      <x:c r="K1276" s="73" t="n">
        <x:f>IF(J1276=1,INDEX(TrackMap!$I$8:$I$141,H1276),INDEX(TrackMap!$L$8:$L$141,H1276))</x:f>
        <x:v>3117</x:v>
      </x:c>
      <x:c r="L1276" s="73" t="str">
        <x:f>INDEX(TrackMap!$F$8:$F$141,H1276)</x:f>
        <x:v>←</x:v>
      </x:c>
      <x:c r="M1276" s="87" t="n">
        <x:f>MAX(0,G1276/Control!$B$17)</x:f>
        <x:v>1</x:v>
      </x:c>
      <x:c r="N1276" s="73" t="n">
        <x:f>IF(N1270&gt;0,N1270,IF(G1276&gt;=Control!$B$17,A1276,0))</x:f>
        <x:v>195</x:v>
      </x:c>
      <x:c r="O1276" s="91" t="n">
        <x:f>IF(N1276&gt;0,Control!$B$17+Control!$B$8+1-N1276,G1276)-B1276/100000</x:f>
        <x:v>715.99997</x:v>
      </x:c>
      <x:c r="P1276" s="73" t="n">
        <x:f>COUNTIF($O$1274:$O$1279,"&gt;"&amp;O1276)+1</x:f>
        <x:v>2</x:v>
      </x:c>
      <x:c r="Q1276" s="83" t="n">
        <x:f>MAX($G$1274:$G$1279)-G1276</x:f>
        <x:v>0</x:v>
      </x:c>
      <x:c r="R1276" s="73" t="str">
        <x:f>INDEX(TrackMap!$B$8:$B$141,H1276)</x:f>
        <x:v>发车大直道</x:v>
      </x:c>
    </x:row>
    <x:row r="1277" ht="20" customHeight="1">
      <x:c r="A1277" s="73" t="n">
        <x:v>211</x:v>
      </x:c>
      <x:c r="B1277" s="73" t="n">
        <x:v>4</x:v>
      </x:c>
      <x:c r="C1277" s="73" t="str">
        <x:f>INDEX(Drivers!$B$8:$B$13,B1277)</x:f>
        <x:v>紫影</x:v>
      </x:c>
      <x:c r="D1277" s="83" t="n">
        <x:f>G1271</x:f>
        <x:v>670</x:v>
      </x:c>
      <x:c r="E1277" s="83" t="str">
        <x:f>IF(A1277=0,"GRID",IF(D1277&gt;=Control!$B$17,"FINISHED",IF(AND(A1277&gt;=INDEX(Drivers!$G$8:$G$13,B1277),A1277&lt;INDEX(Drivers!$G$8:$G$13,B1277)+INDEX(Drivers!$J$8:$J$13,B1277)),"PIT",IF(MOD(A1277+INDEX(Drivers!$F$8:$F$13,B1277),Control!$B$11)&lt;Control!$B$13,"BOOST","RACE"))))</x:f>
        <x:v>FINISHED</x:v>
      </x:c>
      <x:c r="F1277" s="83" t="n">
        <x:f>IF(OR(E1277="GRID",E1277="FINISHED",E1277="PIT"),0,MAX(Control!$B$15,(INDEX(Drivers!$D$8:$D$13,B1277)+INDEX(Drivers!$E$8:$E$13,B1277)*SIN((A1277+INDEX(Drivers!$F$8:$F$13,B1277)+Control!$B$16)*Control!$B$14))*INDEX(TrackMap!$M$8:$M$141,MOD(INT(D1277)-1,Control!$B$7)+1)*IF(E1277="BOOST",Control!$B$12,1)))</x:f>
        <x:v>0</x:v>
      </x:c>
      <x:c r="G1277" s="83" t="n">
        <x:f>IF(A1277=0,D1277,MIN(Control!$B$17,D1277+F1277))</x:f>
        <x:v>670</x:v>
      </x:c>
      <x:c r="H1277" s="73" t="n">
        <x:f>MOD(INT(G1277)-1,Control!$B$7)+1</x:f>
        <x:v>134</x:v>
      </x:c>
      <x:c r="I1277" s="73" t="n">
        <x:f>MIN(Control!$B$6,MAX(1,INT(MAX(0,G1277)/Control!$B$7)+1))</x:f>
        <x:v>5</x:v>
      </x:c>
      <x:c r="J1277" s="73" t="n">
        <x:f>INDEX(Drivers!$H$8:$H$13,B1277)</x:f>
        <x:v>2</x:v>
      </x:c>
      <x:c r="K1277" s="73" t="n">
        <x:f>IF(J1277=1,INDEX(TrackMap!$I$8:$I$141,H1277),INDEX(TrackMap!$L$8:$L$141,H1277))</x:f>
        <x:v>3017</x:v>
      </x:c>
      <x:c r="L1277" s="73" t="str">
        <x:f>INDEX(TrackMap!$F$8:$F$141,H1277)</x:f>
        <x:v>←</x:v>
      </x:c>
      <x:c r="M1277" s="87" t="n">
        <x:f>MAX(0,G1277/Control!$B$17)</x:f>
        <x:v>1</x:v>
      </x:c>
      <x:c r="N1277" s="73" t="n">
        <x:f>IF(N1271&gt;0,N1271,IF(G1277&gt;=Control!$B$17,A1277,0))</x:f>
        <x:v>198</x:v>
      </x:c>
      <x:c r="O1277" s="91" t="n">
        <x:f>IF(N1277&gt;0,Control!$B$17+Control!$B$8+1-N1277,G1277)-B1277/100000</x:f>
        <x:v>712.99996</x:v>
      </x:c>
      <x:c r="P1277" s="73" t="n">
        <x:f>COUNTIF($O$1274:$O$1279,"&gt;"&amp;O1277)+1</x:f>
        <x:v>5</x:v>
      </x:c>
      <x:c r="Q1277" s="83" t="n">
        <x:f>MAX($G$1274:$G$1279)-G1277</x:f>
        <x:v>0</x:v>
      </x:c>
      <x:c r="R1277" s="73" t="str">
        <x:f>INDEX(TrackMap!$B$8:$B$141,H1277)</x:f>
        <x:v>发车大直道</x:v>
      </x:c>
    </x:row>
    <x:row r="1278" ht="20" customHeight="1">
      <x:c r="A1278" s="73" t="n">
        <x:v>211</x:v>
      </x:c>
      <x:c r="B1278" s="73" t="n">
        <x:v>5</x:v>
      </x:c>
      <x:c r="C1278" s="73" t="str">
        <x:f>INDEX(Drivers!$B$8:$B$13,B1278)</x:f>
        <x:v>青锋</x:v>
      </x:c>
      <x:c r="D1278" s="83" t="n">
        <x:f>G1272</x:f>
        <x:v>670</x:v>
      </x:c>
      <x:c r="E1278" s="83" t="str">
        <x:f>IF(A1278=0,"GRID",IF(D1278&gt;=Control!$B$17,"FINISHED",IF(AND(A1278&gt;=INDEX(Drivers!$G$8:$G$13,B1278),A1278&lt;INDEX(Drivers!$G$8:$G$13,B1278)+INDEX(Drivers!$J$8:$J$13,B1278)),"PIT",IF(MOD(A1278+INDEX(Drivers!$F$8:$F$13,B1278),Control!$B$11)&lt;Control!$B$13,"BOOST","RACE"))))</x:f>
        <x:v>FINISHED</x:v>
      </x:c>
      <x:c r="F1278" s="83" t="n">
        <x:f>IF(OR(E1278="GRID",E1278="FINISHED",E1278="PIT"),0,MAX(Control!$B$15,(INDEX(Drivers!$D$8:$D$13,B1278)+INDEX(Drivers!$E$8:$E$13,B1278)*SIN((A1278+INDEX(Drivers!$F$8:$F$13,B1278)+Control!$B$16)*Control!$B$14))*INDEX(TrackMap!$M$8:$M$141,MOD(INT(D1278)-1,Control!$B$7)+1)*IF(E1278="BOOST",Control!$B$12,1)))</x:f>
        <x:v>0</x:v>
      </x:c>
      <x:c r="G1278" s="83" t="n">
        <x:f>IF(A1278=0,D1278,MIN(Control!$B$17,D1278+F1278))</x:f>
        <x:v>670</x:v>
      </x:c>
      <x:c r="H1278" s="73" t="n">
        <x:f>MOD(INT(G1278)-1,Control!$B$7)+1</x:f>
        <x:v>134</x:v>
      </x:c>
      <x:c r="I1278" s="73" t="n">
        <x:f>MIN(Control!$B$6,MAX(1,INT(MAX(0,G1278)/Control!$B$7)+1))</x:f>
        <x:v>5</x:v>
      </x:c>
      <x:c r="J1278" s="73" t="n">
        <x:f>INDEX(Drivers!$H$8:$H$13,B1278)</x:f>
        <x:v>1</x:v>
      </x:c>
      <x:c r="K1278" s="73" t="n">
        <x:f>IF(J1278=1,INDEX(TrackMap!$I$8:$I$141,H1278),INDEX(TrackMap!$L$8:$L$141,H1278))</x:f>
        <x:v>3117</x:v>
      </x:c>
      <x:c r="L1278" s="73" t="str">
        <x:f>INDEX(TrackMap!$F$8:$F$141,H1278)</x:f>
        <x:v>←</x:v>
      </x:c>
      <x:c r="M1278" s="87" t="n">
        <x:f>MAX(0,G1278/Control!$B$17)</x:f>
        <x:v>1</x:v>
      </x:c>
      <x:c r="N1278" s="73" t="n">
        <x:f>IF(N1272&gt;0,N1272,IF(G1278&gt;=Control!$B$17,A1278,0))</x:f>
        <x:v>195</x:v>
      </x:c>
      <x:c r="O1278" s="91" t="n">
        <x:f>IF(N1278&gt;0,Control!$B$17+Control!$B$8+1-N1278,G1278)-B1278/100000</x:f>
        <x:v>715.99995</x:v>
      </x:c>
      <x:c r="P1278" s="73" t="n">
        <x:f>COUNTIF($O$1274:$O$1279,"&gt;"&amp;O1278)+1</x:f>
        <x:v>3</x:v>
      </x:c>
      <x:c r="Q1278" s="83" t="n">
        <x:f>MAX($G$1274:$G$1279)-G1278</x:f>
        <x:v>0</x:v>
      </x:c>
      <x:c r="R1278" s="73" t="str">
        <x:f>INDEX(TrackMap!$B$8:$B$141,H1278)</x:f>
        <x:v>发车大直道</x:v>
      </x:c>
    </x:row>
    <x:row r="1279" ht="20" customHeight="1">
      <x:c r="A1279" s="73" t="n">
        <x:v>211</x:v>
      </x:c>
      <x:c r="B1279" s="73" t="n">
        <x:v>6</x:v>
      </x:c>
      <x:c r="C1279" s="73" t="str">
        <x:f>INDEX(Drivers!$B$8:$B$13,B1279)</x:f>
        <x:v>玫速</x:v>
      </x:c>
      <x:c r="D1279" s="83" t="n">
        <x:f>G1273</x:f>
        <x:v>670</x:v>
      </x:c>
      <x:c r="E1279" s="83" t="str">
        <x:f>IF(A1279=0,"GRID",IF(D1279&gt;=Control!$B$17,"FINISHED",IF(AND(A1279&gt;=INDEX(Drivers!$G$8:$G$13,B1279),A1279&lt;INDEX(Drivers!$G$8:$G$13,B1279)+INDEX(Drivers!$J$8:$J$13,B1279)),"PIT",IF(MOD(A1279+INDEX(Drivers!$F$8:$F$13,B1279),Control!$B$11)&lt;Control!$B$13,"BOOST","RACE"))))</x:f>
        <x:v>FINISHED</x:v>
      </x:c>
      <x:c r="F1279" s="83" t="n">
        <x:f>IF(OR(E1279="GRID",E1279="FINISHED",E1279="PIT"),0,MAX(Control!$B$15,(INDEX(Drivers!$D$8:$D$13,B1279)+INDEX(Drivers!$E$8:$E$13,B1279)*SIN((A1279+INDEX(Drivers!$F$8:$F$13,B1279)+Control!$B$16)*Control!$B$14))*INDEX(TrackMap!$M$8:$M$141,MOD(INT(D1279)-1,Control!$B$7)+1)*IF(E1279="BOOST",Control!$B$12,1)))</x:f>
        <x:v>0</x:v>
      </x:c>
      <x:c r="G1279" s="83" t="n">
        <x:f>IF(A1279=0,D1279,MIN(Control!$B$17,D1279+F1279))</x:f>
        <x:v>670</x:v>
      </x:c>
      <x:c r="H1279" s="73" t="n">
        <x:f>MOD(INT(G1279)-1,Control!$B$7)+1</x:f>
        <x:v>134</x:v>
      </x:c>
      <x:c r="I1279" s="73" t="n">
        <x:f>MIN(Control!$B$6,MAX(1,INT(MAX(0,G1279)/Control!$B$7)+1))</x:f>
        <x:v>5</x:v>
      </x:c>
      <x:c r="J1279" s="73" t="n">
        <x:f>INDEX(Drivers!$H$8:$H$13,B1279)</x:f>
        <x:v>2</x:v>
      </x:c>
      <x:c r="K1279" s="73" t="n">
        <x:f>IF(J1279=1,INDEX(TrackMap!$I$8:$I$141,H1279),INDEX(TrackMap!$L$8:$L$141,H1279))</x:f>
        <x:v>3017</x:v>
      </x:c>
      <x:c r="L1279" s="73" t="str">
        <x:f>INDEX(TrackMap!$F$8:$F$141,H1279)</x:f>
        <x:v>←</x:v>
      </x:c>
      <x:c r="M1279" s="87" t="n">
        <x:f>MAX(0,G1279/Control!$B$17)</x:f>
        <x:v>1</x:v>
      </x:c>
      <x:c r="N1279" s="73" t="n">
        <x:f>IF(N1273&gt;0,N1273,IF(G1279&gt;=Control!$B$17,A1279,0))</x:f>
        <x:v>196</x:v>
      </x:c>
      <x:c r="O1279" s="91" t="n">
        <x:f>IF(N1279&gt;0,Control!$B$17+Control!$B$8+1-N1279,G1279)-B1279/100000</x:f>
        <x:v>714.99994</x:v>
      </x:c>
      <x:c r="P1279" s="73" t="n">
        <x:f>COUNTIF($O$1274:$O$1279,"&gt;"&amp;O1279)+1</x:f>
        <x:v>4</x:v>
      </x:c>
      <x:c r="Q1279" s="83" t="n">
        <x:f>MAX($G$1274:$G$1279)-G1279</x:f>
        <x:v>0</x:v>
      </x:c>
      <x:c r="R1279" s="73" t="str">
        <x:f>INDEX(TrackMap!$B$8:$B$141,H1279)</x:f>
        <x:v>发车大直道</x:v>
      </x:c>
    </x:row>
    <x:row r="1280" ht="20" customHeight="1">
      <x:c r="A1280" s="73" t="n">
        <x:v>212</x:v>
      </x:c>
      <x:c r="B1280" s="73" t="n">
        <x:v>1</x:v>
      </x:c>
      <x:c r="C1280" s="73" t="str">
        <x:f>INDEX(Drivers!$B$8:$B$13,B1280)</x:f>
        <x:v>赤焰</x:v>
      </x:c>
      <x:c r="D1280" s="83" t="n">
        <x:f>G1274</x:f>
        <x:v>670</x:v>
      </x:c>
      <x:c r="E1280" s="83" t="str">
        <x:f>IF(A1280=0,"GRID",IF(D1280&gt;=Control!$B$17,"FINISHED",IF(AND(A1280&gt;=INDEX(Drivers!$G$8:$G$13,B1280),A1280&lt;INDEX(Drivers!$G$8:$G$13,B1280)+INDEX(Drivers!$J$8:$J$13,B1280)),"PIT",IF(MOD(A1280+INDEX(Drivers!$F$8:$F$13,B1280),Control!$B$11)&lt;Control!$B$13,"BOOST","RACE"))))</x:f>
        <x:v>FINISHED</x:v>
      </x:c>
      <x:c r="F1280" s="83" t="n">
        <x:f>IF(OR(E1280="GRID",E1280="FINISHED",E1280="PIT"),0,MAX(Control!$B$15,(INDEX(Drivers!$D$8:$D$13,B1280)+INDEX(Drivers!$E$8:$E$13,B1280)*SIN((A1280+INDEX(Drivers!$F$8:$F$13,B1280)+Control!$B$16)*Control!$B$14))*INDEX(TrackMap!$M$8:$M$141,MOD(INT(D1280)-1,Control!$B$7)+1)*IF(E1280="BOOST",Control!$B$12,1)))</x:f>
        <x:v>0</x:v>
      </x:c>
      <x:c r="G1280" s="83" t="n">
        <x:f>IF(A1280=0,D1280,MIN(Control!$B$17,D1280+F1280))</x:f>
        <x:v>670</x:v>
      </x:c>
      <x:c r="H1280" s="73" t="n">
        <x:f>MOD(INT(G1280)-1,Control!$B$7)+1</x:f>
        <x:v>134</x:v>
      </x:c>
      <x:c r="I1280" s="73" t="n">
        <x:f>MIN(Control!$B$6,MAX(1,INT(MAX(0,G1280)/Control!$B$7)+1))</x:f>
        <x:v>5</x:v>
      </x:c>
      <x:c r="J1280" s="73" t="n">
        <x:f>INDEX(Drivers!$H$8:$H$13,B1280)</x:f>
        <x:v>1</x:v>
      </x:c>
      <x:c r="K1280" s="73" t="n">
        <x:f>IF(J1280=1,INDEX(TrackMap!$I$8:$I$141,H1280),INDEX(TrackMap!$L$8:$L$141,H1280))</x:f>
        <x:v>3117</x:v>
      </x:c>
      <x:c r="L1280" s="73" t="str">
        <x:f>INDEX(TrackMap!$F$8:$F$141,H1280)</x:f>
        <x:v>←</x:v>
      </x:c>
      <x:c r="M1280" s="87" t="n">
        <x:f>MAX(0,G1280/Control!$B$17)</x:f>
        <x:v>1</x:v>
      </x:c>
      <x:c r="N1280" s="73" t="n">
        <x:f>IF(N1274&gt;0,N1274,IF(G1280&gt;=Control!$B$17,A1280,0))</x:f>
        <x:v>194</x:v>
      </x:c>
      <x:c r="O1280" s="91" t="n">
        <x:f>IF(N1280&gt;0,Control!$B$17+Control!$B$8+1-N1280,G1280)-B1280/100000</x:f>
        <x:v>716.99999</x:v>
      </x:c>
      <x:c r="P1280" s="73" t="n">
        <x:f>COUNTIF($O$1280:$O$1285,"&gt;"&amp;O1280)+1</x:f>
        <x:v>1</x:v>
      </x:c>
      <x:c r="Q1280" s="83" t="n">
        <x:f>MAX($G$1280:$G$1285)-G1280</x:f>
        <x:v>0</x:v>
      </x:c>
      <x:c r="R1280" s="73" t="str">
        <x:f>INDEX(TrackMap!$B$8:$B$141,H1280)</x:f>
        <x:v>发车大直道</x:v>
      </x:c>
    </x:row>
    <x:row r="1281" ht="20" customHeight="1">
      <x:c r="A1281" s="73" t="n">
        <x:v>212</x:v>
      </x:c>
      <x:c r="B1281" s="73" t="n">
        <x:v>2</x:v>
      </x:c>
      <x:c r="C1281" s="73" t="str">
        <x:f>INDEX(Drivers!$B$8:$B$13,B1281)</x:f>
        <x:v>蓝电</x:v>
      </x:c>
      <x:c r="D1281" s="83" t="n">
        <x:f>G1275</x:f>
        <x:v>670</x:v>
      </x:c>
      <x:c r="E1281" s="83" t="str">
        <x:f>IF(A1281=0,"GRID",IF(D1281&gt;=Control!$B$17,"FINISHED",IF(AND(A1281&gt;=INDEX(Drivers!$G$8:$G$13,B1281),A1281&lt;INDEX(Drivers!$G$8:$G$13,B1281)+INDEX(Drivers!$J$8:$J$13,B1281)),"PIT",IF(MOD(A1281+INDEX(Drivers!$F$8:$F$13,B1281),Control!$B$11)&lt;Control!$B$13,"BOOST","RACE"))))</x:f>
        <x:v>FINISHED</x:v>
      </x:c>
      <x:c r="F1281" s="83" t="n">
        <x:f>IF(OR(E1281="GRID",E1281="FINISHED",E1281="PIT"),0,MAX(Control!$B$15,(INDEX(Drivers!$D$8:$D$13,B1281)+INDEX(Drivers!$E$8:$E$13,B1281)*SIN((A1281+INDEX(Drivers!$F$8:$F$13,B1281)+Control!$B$16)*Control!$B$14))*INDEX(TrackMap!$M$8:$M$141,MOD(INT(D1281)-1,Control!$B$7)+1)*IF(E1281="BOOST",Control!$B$12,1)))</x:f>
        <x:v>0</x:v>
      </x:c>
      <x:c r="G1281" s="83" t="n">
        <x:f>IF(A1281=0,D1281,MIN(Control!$B$17,D1281+F1281))</x:f>
        <x:v>670</x:v>
      </x:c>
      <x:c r="H1281" s="73" t="n">
        <x:f>MOD(INT(G1281)-1,Control!$B$7)+1</x:f>
        <x:v>134</x:v>
      </x:c>
      <x:c r="I1281" s="73" t="n">
        <x:f>MIN(Control!$B$6,MAX(1,INT(MAX(0,G1281)/Control!$B$7)+1))</x:f>
        <x:v>5</x:v>
      </x:c>
      <x:c r="J1281" s="73" t="n">
        <x:f>INDEX(Drivers!$H$8:$H$13,B1281)</x:f>
        <x:v>2</x:v>
      </x:c>
      <x:c r="K1281" s="73" t="n">
        <x:f>IF(J1281=1,INDEX(TrackMap!$I$8:$I$141,H1281),INDEX(TrackMap!$L$8:$L$141,H1281))</x:f>
        <x:v>3017</x:v>
      </x:c>
      <x:c r="L1281" s="73" t="str">
        <x:f>INDEX(TrackMap!$F$8:$F$141,H1281)</x:f>
        <x:v>←</x:v>
      </x:c>
      <x:c r="M1281" s="87" t="n">
        <x:f>MAX(0,G1281/Control!$B$17)</x:f>
        <x:v>1</x:v>
      </x:c>
      <x:c r="N1281" s="73" t="n">
        <x:f>IF(N1275&gt;0,N1275,IF(G1281&gt;=Control!$B$17,A1281,0))</x:f>
        <x:v>201</x:v>
      </x:c>
      <x:c r="O1281" s="91" t="n">
        <x:f>IF(N1281&gt;0,Control!$B$17+Control!$B$8+1-N1281,G1281)-B1281/100000</x:f>
        <x:v>709.99998</x:v>
      </x:c>
      <x:c r="P1281" s="73" t="n">
        <x:f>COUNTIF($O$1280:$O$1285,"&gt;"&amp;O1281)+1</x:f>
        <x:v>6</x:v>
      </x:c>
      <x:c r="Q1281" s="83" t="n">
        <x:f>MAX($G$1280:$G$1285)-G1281</x:f>
        <x:v>0</x:v>
      </x:c>
      <x:c r="R1281" s="73" t="str">
        <x:f>INDEX(TrackMap!$B$8:$B$141,H1281)</x:f>
        <x:v>发车大直道</x:v>
      </x:c>
    </x:row>
    <x:row r="1282" ht="20" customHeight="1">
      <x:c r="A1282" s="73" t="n">
        <x:v>212</x:v>
      </x:c>
      <x:c r="B1282" s="73" t="n">
        <x:v>3</x:v>
      </x:c>
      <x:c r="C1282" s="73" t="str">
        <x:f>INDEX(Drivers!$B$8:$B$13,B1282)</x:f>
        <x:v>金翼</x:v>
      </x:c>
      <x:c r="D1282" s="83" t="n">
        <x:f>G1276</x:f>
        <x:v>670</x:v>
      </x:c>
      <x:c r="E1282" s="83" t="str">
        <x:f>IF(A1282=0,"GRID",IF(D1282&gt;=Control!$B$17,"FINISHED",IF(AND(A1282&gt;=INDEX(Drivers!$G$8:$G$13,B1282),A1282&lt;INDEX(Drivers!$G$8:$G$13,B1282)+INDEX(Drivers!$J$8:$J$13,B1282)),"PIT",IF(MOD(A1282+INDEX(Drivers!$F$8:$F$13,B1282),Control!$B$11)&lt;Control!$B$13,"BOOST","RACE"))))</x:f>
        <x:v>FINISHED</x:v>
      </x:c>
      <x:c r="F1282" s="83" t="n">
        <x:f>IF(OR(E1282="GRID",E1282="FINISHED",E1282="PIT"),0,MAX(Control!$B$15,(INDEX(Drivers!$D$8:$D$13,B1282)+INDEX(Drivers!$E$8:$E$13,B1282)*SIN((A1282+INDEX(Drivers!$F$8:$F$13,B1282)+Control!$B$16)*Control!$B$14))*INDEX(TrackMap!$M$8:$M$141,MOD(INT(D1282)-1,Control!$B$7)+1)*IF(E1282="BOOST",Control!$B$12,1)))</x:f>
        <x:v>0</x:v>
      </x:c>
      <x:c r="G1282" s="83" t="n">
        <x:f>IF(A1282=0,D1282,MIN(Control!$B$17,D1282+F1282))</x:f>
        <x:v>670</x:v>
      </x:c>
      <x:c r="H1282" s="73" t="n">
        <x:f>MOD(INT(G1282)-1,Control!$B$7)+1</x:f>
        <x:v>134</x:v>
      </x:c>
      <x:c r="I1282" s="73" t="n">
        <x:f>MIN(Control!$B$6,MAX(1,INT(MAX(0,G1282)/Control!$B$7)+1))</x:f>
        <x:v>5</x:v>
      </x:c>
      <x:c r="J1282" s="73" t="n">
        <x:f>INDEX(Drivers!$H$8:$H$13,B1282)</x:f>
        <x:v>1</x:v>
      </x:c>
      <x:c r="K1282" s="73" t="n">
        <x:f>IF(J1282=1,INDEX(TrackMap!$I$8:$I$141,H1282),INDEX(TrackMap!$L$8:$L$141,H1282))</x:f>
        <x:v>3117</x:v>
      </x:c>
      <x:c r="L1282" s="73" t="str">
        <x:f>INDEX(TrackMap!$F$8:$F$141,H1282)</x:f>
        <x:v>←</x:v>
      </x:c>
      <x:c r="M1282" s="87" t="n">
        <x:f>MAX(0,G1282/Control!$B$17)</x:f>
        <x:v>1</x:v>
      </x:c>
      <x:c r="N1282" s="73" t="n">
        <x:f>IF(N1276&gt;0,N1276,IF(G1282&gt;=Control!$B$17,A1282,0))</x:f>
        <x:v>195</x:v>
      </x:c>
      <x:c r="O1282" s="91" t="n">
        <x:f>IF(N1282&gt;0,Control!$B$17+Control!$B$8+1-N1282,G1282)-B1282/100000</x:f>
        <x:v>715.99997</x:v>
      </x:c>
      <x:c r="P1282" s="73" t="n">
        <x:f>COUNTIF($O$1280:$O$1285,"&gt;"&amp;O1282)+1</x:f>
        <x:v>2</x:v>
      </x:c>
      <x:c r="Q1282" s="83" t="n">
        <x:f>MAX($G$1280:$G$1285)-G1282</x:f>
        <x:v>0</x:v>
      </x:c>
      <x:c r="R1282" s="73" t="str">
        <x:f>INDEX(TrackMap!$B$8:$B$141,H1282)</x:f>
        <x:v>发车大直道</x:v>
      </x:c>
    </x:row>
    <x:row r="1283" ht="20" customHeight="1">
      <x:c r="A1283" s="73" t="n">
        <x:v>212</x:v>
      </x:c>
      <x:c r="B1283" s="73" t="n">
        <x:v>4</x:v>
      </x:c>
      <x:c r="C1283" s="73" t="str">
        <x:f>INDEX(Drivers!$B$8:$B$13,B1283)</x:f>
        <x:v>紫影</x:v>
      </x:c>
      <x:c r="D1283" s="83" t="n">
        <x:f>G1277</x:f>
        <x:v>670</x:v>
      </x:c>
      <x:c r="E1283" s="83" t="str">
        <x:f>IF(A1283=0,"GRID",IF(D1283&gt;=Control!$B$17,"FINISHED",IF(AND(A1283&gt;=INDEX(Drivers!$G$8:$G$13,B1283),A1283&lt;INDEX(Drivers!$G$8:$G$13,B1283)+INDEX(Drivers!$J$8:$J$13,B1283)),"PIT",IF(MOD(A1283+INDEX(Drivers!$F$8:$F$13,B1283),Control!$B$11)&lt;Control!$B$13,"BOOST","RACE"))))</x:f>
        <x:v>FINISHED</x:v>
      </x:c>
      <x:c r="F1283" s="83" t="n">
        <x:f>IF(OR(E1283="GRID",E1283="FINISHED",E1283="PIT"),0,MAX(Control!$B$15,(INDEX(Drivers!$D$8:$D$13,B1283)+INDEX(Drivers!$E$8:$E$13,B1283)*SIN((A1283+INDEX(Drivers!$F$8:$F$13,B1283)+Control!$B$16)*Control!$B$14))*INDEX(TrackMap!$M$8:$M$141,MOD(INT(D1283)-1,Control!$B$7)+1)*IF(E1283="BOOST",Control!$B$12,1)))</x:f>
        <x:v>0</x:v>
      </x:c>
      <x:c r="G1283" s="83" t="n">
        <x:f>IF(A1283=0,D1283,MIN(Control!$B$17,D1283+F1283))</x:f>
        <x:v>670</x:v>
      </x:c>
      <x:c r="H1283" s="73" t="n">
        <x:f>MOD(INT(G1283)-1,Control!$B$7)+1</x:f>
        <x:v>134</x:v>
      </x:c>
      <x:c r="I1283" s="73" t="n">
        <x:f>MIN(Control!$B$6,MAX(1,INT(MAX(0,G1283)/Control!$B$7)+1))</x:f>
        <x:v>5</x:v>
      </x:c>
      <x:c r="J1283" s="73" t="n">
        <x:f>INDEX(Drivers!$H$8:$H$13,B1283)</x:f>
        <x:v>2</x:v>
      </x:c>
      <x:c r="K1283" s="73" t="n">
        <x:f>IF(J1283=1,INDEX(TrackMap!$I$8:$I$141,H1283),INDEX(TrackMap!$L$8:$L$141,H1283))</x:f>
        <x:v>3017</x:v>
      </x:c>
      <x:c r="L1283" s="73" t="str">
        <x:f>INDEX(TrackMap!$F$8:$F$141,H1283)</x:f>
        <x:v>←</x:v>
      </x:c>
      <x:c r="M1283" s="87" t="n">
        <x:f>MAX(0,G1283/Control!$B$17)</x:f>
        <x:v>1</x:v>
      </x:c>
      <x:c r="N1283" s="73" t="n">
        <x:f>IF(N1277&gt;0,N1277,IF(G1283&gt;=Control!$B$17,A1283,0))</x:f>
        <x:v>198</x:v>
      </x:c>
      <x:c r="O1283" s="91" t="n">
        <x:f>IF(N1283&gt;0,Control!$B$17+Control!$B$8+1-N1283,G1283)-B1283/100000</x:f>
        <x:v>712.99996</x:v>
      </x:c>
      <x:c r="P1283" s="73" t="n">
        <x:f>COUNTIF($O$1280:$O$1285,"&gt;"&amp;O1283)+1</x:f>
        <x:v>5</x:v>
      </x:c>
      <x:c r="Q1283" s="83" t="n">
        <x:f>MAX($G$1280:$G$1285)-G1283</x:f>
        <x:v>0</x:v>
      </x:c>
      <x:c r="R1283" s="73" t="str">
        <x:f>INDEX(TrackMap!$B$8:$B$141,H1283)</x:f>
        <x:v>发车大直道</x:v>
      </x:c>
    </x:row>
    <x:row r="1284" ht="20" customHeight="1">
      <x:c r="A1284" s="73" t="n">
        <x:v>212</x:v>
      </x:c>
      <x:c r="B1284" s="73" t="n">
        <x:v>5</x:v>
      </x:c>
      <x:c r="C1284" s="73" t="str">
        <x:f>INDEX(Drivers!$B$8:$B$13,B1284)</x:f>
        <x:v>青锋</x:v>
      </x:c>
      <x:c r="D1284" s="83" t="n">
        <x:f>G1278</x:f>
        <x:v>670</x:v>
      </x:c>
      <x:c r="E1284" s="83" t="str">
        <x:f>IF(A1284=0,"GRID",IF(D1284&gt;=Control!$B$17,"FINISHED",IF(AND(A1284&gt;=INDEX(Drivers!$G$8:$G$13,B1284),A1284&lt;INDEX(Drivers!$G$8:$G$13,B1284)+INDEX(Drivers!$J$8:$J$13,B1284)),"PIT",IF(MOD(A1284+INDEX(Drivers!$F$8:$F$13,B1284),Control!$B$11)&lt;Control!$B$13,"BOOST","RACE"))))</x:f>
        <x:v>FINISHED</x:v>
      </x:c>
      <x:c r="F1284" s="83" t="n">
        <x:f>IF(OR(E1284="GRID",E1284="FINISHED",E1284="PIT"),0,MAX(Control!$B$15,(INDEX(Drivers!$D$8:$D$13,B1284)+INDEX(Drivers!$E$8:$E$13,B1284)*SIN((A1284+INDEX(Drivers!$F$8:$F$13,B1284)+Control!$B$16)*Control!$B$14))*INDEX(TrackMap!$M$8:$M$141,MOD(INT(D1284)-1,Control!$B$7)+1)*IF(E1284="BOOST",Control!$B$12,1)))</x:f>
        <x:v>0</x:v>
      </x:c>
      <x:c r="G1284" s="83" t="n">
        <x:f>IF(A1284=0,D1284,MIN(Control!$B$17,D1284+F1284))</x:f>
        <x:v>670</x:v>
      </x:c>
      <x:c r="H1284" s="73" t="n">
        <x:f>MOD(INT(G1284)-1,Control!$B$7)+1</x:f>
        <x:v>134</x:v>
      </x:c>
      <x:c r="I1284" s="73" t="n">
        <x:f>MIN(Control!$B$6,MAX(1,INT(MAX(0,G1284)/Control!$B$7)+1))</x:f>
        <x:v>5</x:v>
      </x:c>
      <x:c r="J1284" s="73" t="n">
        <x:f>INDEX(Drivers!$H$8:$H$13,B1284)</x:f>
        <x:v>1</x:v>
      </x:c>
      <x:c r="K1284" s="73" t="n">
        <x:f>IF(J1284=1,INDEX(TrackMap!$I$8:$I$141,H1284),INDEX(TrackMap!$L$8:$L$141,H1284))</x:f>
        <x:v>3117</x:v>
      </x:c>
      <x:c r="L1284" s="73" t="str">
        <x:f>INDEX(TrackMap!$F$8:$F$141,H1284)</x:f>
        <x:v>←</x:v>
      </x:c>
      <x:c r="M1284" s="87" t="n">
        <x:f>MAX(0,G1284/Control!$B$17)</x:f>
        <x:v>1</x:v>
      </x:c>
      <x:c r="N1284" s="73" t="n">
        <x:f>IF(N1278&gt;0,N1278,IF(G1284&gt;=Control!$B$17,A1284,0))</x:f>
        <x:v>195</x:v>
      </x:c>
      <x:c r="O1284" s="91" t="n">
        <x:f>IF(N1284&gt;0,Control!$B$17+Control!$B$8+1-N1284,G1284)-B1284/100000</x:f>
        <x:v>715.99995</x:v>
      </x:c>
      <x:c r="P1284" s="73" t="n">
        <x:f>COUNTIF($O$1280:$O$1285,"&gt;"&amp;O1284)+1</x:f>
        <x:v>3</x:v>
      </x:c>
      <x:c r="Q1284" s="83" t="n">
        <x:f>MAX($G$1280:$G$1285)-G1284</x:f>
        <x:v>0</x:v>
      </x:c>
      <x:c r="R1284" s="73" t="str">
        <x:f>INDEX(TrackMap!$B$8:$B$141,H1284)</x:f>
        <x:v>发车大直道</x:v>
      </x:c>
    </x:row>
    <x:row r="1285" ht="20" customHeight="1">
      <x:c r="A1285" s="73" t="n">
        <x:v>212</x:v>
      </x:c>
      <x:c r="B1285" s="73" t="n">
        <x:v>6</x:v>
      </x:c>
      <x:c r="C1285" s="73" t="str">
        <x:f>INDEX(Drivers!$B$8:$B$13,B1285)</x:f>
        <x:v>玫速</x:v>
      </x:c>
      <x:c r="D1285" s="83" t="n">
        <x:f>G1279</x:f>
        <x:v>670</x:v>
      </x:c>
      <x:c r="E1285" s="83" t="str">
        <x:f>IF(A1285=0,"GRID",IF(D1285&gt;=Control!$B$17,"FINISHED",IF(AND(A1285&gt;=INDEX(Drivers!$G$8:$G$13,B1285),A1285&lt;INDEX(Drivers!$G$8:$G$13,B1285)+INDEX(Drivers!$J$8:$J$13,B1285)),"PIT",IF(MOD(A1285+INDEX(Drivers!$F$8:$F$13,B1285),Control!$B$11)&lt;Control!$B$13,"BOOST","RACE"))))</x:f>
        <x:v>FINISHED</x:v>
      </x:c>
      <x:c r="F1285" s="83" t="n">
        <x:f>IF(OR(E1285="GRID",E1285="FINISHED",E1285="PIT"),0,MAX(Control!$B$15,(INDEX(Drivers!$D$8:$D$13,B1285)+INDEX(Drivers!$E$8:$E$13,B1285)*SIN((A1285+INDEX(Drivers!$F$8:$F$13,B1285)+Control!$B$16)*Control!$B$14))*INDEX(TrackMap!$M$8:$M$141,MOD(INT(D1285)-1,Control!$B$7)+1)*IF(E1285="BOOST",Control!$B$12,1)))</x:f>
        <x:v>0</x:v>
      </x:c>
      <x:c r="G1285" s="83" t="n">
        <x:f>IF(A1285=0,D1285,MIN(Control!$B$17,D1285+F1285))</x:f>
        <x:v>670</x:v>
      </x:c>
      <x:c r="H1285" s="73" t="n">
        <x:f>MOD(INT(G1285)-1,Control!$B$7)+1</x:f>
        <x:v>134</x:v>
      </x:c>
      <x:c r="I1285" s="73" t="n">
        <x:f>MIN(Control!$B$6,MAX(1,INT(MAX(0,G1285)/Control!$B$7)+1))</x:f>
        <x:v>5</x:v>
      </x:c>
      <x:c r="J1285" s="73" t="n">
        <x:f>INDEX(Drivers!$H$8:$H$13,B1285)</x:f>
        <x:v>2</x:v>
      </x:c>
      <x:c r="K1285" s="73" t="n">
        <x:f>IF(J1285=1,INDEX(TrackMap!$I$8:$I$141,H1285),INDEX(TrackMap!$L$8:$L$141,H1285))</x:f>
        <x:v>3017</x:v>
      </x:c>
      <x:c r="L1285" s="73" t="str">
        <x:f>INDEX(TrackMap!$F$8:$F$141,H1285)</x:f>
        <x:v>←</x:v>
      </x:c>
      <x:c r="M1285" s="87" t="n">
        <x:f>MAX(0,G1285/Control!$B$17)</x:f>
        <x:v>1</x:v>
      </x:c>
      <x:c r="N1285" s="73" t="n">
        <x:f>IF(N1279&gt;0,N1279,IF(G1285&gt;=Control!$B$17,A1285,0))</x:f>
        <x:v>196</x:v>
      </x:c>
      <x:c r="O1285" s="91" t="n">
        <x:f>IF(N1285&gt;0,Control!$B$17+Control!$B$8+1-N1285,G1285)-B1285/100000</x:f>
        <x:v>714.99994</x:v>
      </x:c>
      <x:c r="P1285" s="73" t="n">
        <x:f>COUNTIF($O$1280:$O$1285,"&gt;"&amp;O1285)+1</x:f>
        <x:v>4</x:v>
      </x:c>
      <x:c r="Q1285" s="83" t="n">
        <x:f>MAX($G$1280:$G$1285)-G1285</x:f>
        <x:v>0</x:v>
      </x:c>
      <x:c r="R1285" s="73" t="str">
        <x:f>INDEX(TrackMap!$B$8:$B$141,H1285)</x:f>
        <x:v>发车大直道</x:v>
      </x:c>
    </x:row>
    <x:row r="1286" ht="20" customHeight="1">
      <x:c r="A1286" s="73" t="n">
        <x:v>213</x:v>
      </x:c>
      <x:c r="B1286" s="73" t="n">
        <x:v>1</x:v>
      </x:c>
      <x:c r="C1286" s="73" t="str">
        <x:f>INDEX(Drivers!$B$8:$B$13,B1286)</x:f>
        <x:v>赤焰</x:v>
      </x:c>
      <x:c r="D1286" s="83" t="n">
        <x:f>G1280</x:f>
        <x:v>670</x:v>
      </x:c>
      <x:c r="E1286" s="83" t="str">
        <x:f>IF(A1286=0,"GRID",IF(D1286&gt;=Control!$B$17,"FINISHED",IF(AND(A1286&gt;=INDEX(Drivers!$G$8:$G$13,B1286),A1286&lt;INDEX(Drivers!$G$8:$G$13,B1286)+INDEX(Drivers!$J$8:$J$13,B1286)),"PIT",IF(MOD(A1286+INDEX(Drivers!$F$8:$F$13,B1286),Control!$B$11)&lt;Control!$B$13,"BOOST","RACE"))))</x:f>
        <x:v>FINISHED</x:v>
      </x:c>
      <x:c r="F1286" s="83" t="n">
        <x:f>IF(OR(E1286="GRID",E1286="FINISHED",E1286="PIT"),0,MAX(Control!$B$15,(INDEX(Drivers!$D$8:$D$13,B1286)+INDEX(Drivers!$E$8:$E$13,B1286)*SIN((A1286+INDEX(Drivers!$F$8:$F$13,B1286)+Control!$B$16)*Control!$B$14))*INDEX(TrackMap!$M$8:$M$141,MOD(INT(D1286)-1,Control!$B$7)+1)*IF(E1286="BOOST",Control!$B$12,1)))</x:f>
        <x:v>0</x:v>
      </x:c>
      <x:c r="G1286" s="83" t="n">
        <x:f>IF(A1286=0,D1286,MIN(Control!$B$17,D1286+F1286))</x:f>
        <x:v>670</x:v>
      </x:c>
      <x:c r="H1286" s="73" t="n">
        <x:f>MOD(INT(G1286)-1,Control!$B$7)+1</x:f>
        <x:v>134</x:v>
      </x:c>
      <x:c r="I1286" s="73" t="n">
        <x:f>MIN(Control!$B$6,MAX(1,INT(MAX(0,G1286)/Control!$B$7)+1))</x:f>
        <x:v>5</x:v>
      </x:c>
      <x:c r="J1286" s="73" t="n">
        <x:f>INDEX(Drivers!$H$8:$H$13,B1286)</x:f>
        <x:v>1</x:v>
      </x:c>
      <x:c r="K1286" s="73" t="n">
        <x:f>IF(J1286=1,INDEX(TrackMap!$I$8:$I$141,H1286),INDEX(TrackMap!$L$8:$L$141,H1286))</x:f>
        <x:v>3117</x:v>
      </x:c>
      <x:c r="L1286" s="73" t="str">
        <x:f>INDEX(TrackMap!$F$8:$F$141,H1286)</x:f>
        <x:v>←</x:v>
      </x:c>
      <x:c r="M1286" s="87" t="n">
        <x:f>MAX(0,G1286/Control!$B$17)</x:f>
        <x:v>1</x:v>
      </x:c>
      <x:c r="N1286" s="73" t="n">
        <x:f>IF(N1280&gt;0,N1280,IF(G1286&gt;=Control!$B$17,A1286,0))</x:f>
        <x:v>194</x:v>
      </x:c>
      <x:c r="O1286" s="91" t="n">
        <x:f>IF(N1286&gt;0,Control!$B$17+Control!$B$8+1-N1286,G1286)-B1286/100000</x:f>
        <x:v>716.99999</x:v>
      </x:c>
      <x:c r="P1286" s="73" t="n">
        <x:f>COUNTIF($O$1286:$O$1291,"&gt;"&amp;O1286)+1</x:f>
        <x:v>1</x:v>
      </x:c>
      <x:c r="Q1286" s="83" t="n">
        <x:f>MAX($G$1286:$G$1291)-G1286</x:f>
        <x:v>0</x:v>
      </x:c>
      <x:c r="R1286" s="73" t="str">
        <x:f>INDEX(TrackMap!$B$8:$B$141,H1286)</x:f>
        <x:v>发车大直道</x:v>
      </x:c>
    </x:row>
    <x:row r="1287" ht="20" customHeight="1">
      <x:c r="A1287" s="73" t="n">
        <x:v>213</x:v>
      </x:c>
      <x:c r="B1287" s="73" t="n">
        <x:v>2</x:v>
      </x:c>
      <x:c r="C1287" s="73" t="str">
        <x:f>INDEX(Drivers!$B$8:$B$13,B1287)</x:f>
        <x:v>蓝电</x:v>
      </x:c>
      <x:c r="D1287" s="83" t="n">
        <x:f>G1281</x:f>
        <x:v>670</x:v>
      </x:c>
      <x:c r="E1287" s="83" t="str">
        <x:f>IF(A1287=0,"GRID",IF(D1287&gt;=Control!$B$17,"FINISHED",IF(AND(A1287&gt;=INDEX(Drivers!$G$8:$G$13,B1287),A1287&lt;INDEX(Drivers!$G$8:$G$13,B1287)+INDEX(Drivers!$J$8:$J$13,B1287)),"PIT",IF(MOD(A1287+INDEX(Drivers!$F$8:$F$13,B1287),Control!$B$11)&lt;Control!$B$13,"BOOST","RACE"))))</x:f>
        <x:v>FINISHED</x:v>
      </x:c>
      <x:c r="F1287" s="83" t="n">
        <x:f>IF(OR(E1287="GRID",E1287="FINISHED",E1287="PIT"),0,MAX(Control!$B$15,(INDEX(Drivers!$D$8:$D$13,B1287)+INDEX(Drivers!$E$8:$E$13,B1287)*SIN((A1287+INDEX(Drivers!$F$8:$F$13,B1287)+Control!$B$16)*Control!$B$14))*INDEX(TrackMap!$M$8:$M$141,MOD(INT(D1287)-1,Control!$B$7)+1)*IF(E1287="BOOST",Control!$B$12,1)))</x:f>
        <x:v>0</x:v>
      </x:c>
      <x:c r="G1287" s="83" t="n">
        <x:f>IF(A1287=0,D1287,MIN(Control!$B$17,D1287+F1287))</x:f>
        <x:v>670</x:v>
      </x:c>
      <x:c r="H1287" s="73" t="n">
        <x:f>MOD(INT(G1287)-1,Control!$B$7)+1</x:f>
        <x:v>134</x:v>
      </x:c>
      <x:c r="I1287" s="73" t="n">
        <x:f>MIN(Control!$B$6,MAX(1,INT(MAX(0,G1287)/Control!$B$7)+1))</x:f>
        <x:v>5</x:v>
      </x:c>
      <x:c r="J1287" s="73" t="n">
        <x:f>INDEX(Drivers!$H$8:$H$13,B1287)</x:f>
        <x:v>2</x:v>
      </x:c>
      <x:c r="K1287" s="73" t="n">
        <x:f>IF(J1287=1,INDEX(TrackMap!$I$8:$I$141,H1287),INDEX(TrackMap!$L$8:$L$141,H1287))</x:f>
        <x:v>3017</x:v>
      </x:c>
      <x:c r="L1287" s="73" t="str">
        <x:f>INDEX(TrackMap!$F$8:$F$141,H1287)</x:f>
        <x:v>←</x:v>
      </x:c>
      <x:c r="M1287" s="87" t="n">
        <x:f>MAX(0,G1287/Control!$B$17)</x:f>
        <x:v>1</x:v>
      </x:c>
      <x:c r="N1287" s="73" t="n">
        <x:f>IF(N1281&gt;0,N1281,IF(G1287&gt;=Control!$B$17,A1287,0))</x:f>
        <x:v>201</x:v>
      </x:c>
      <x:c r="O1287" s="91" t="n">
        <x:f>IF(N1287&gt;0,Control!$B$17+Control!$B$8+1-N1287,G1287)-B1287/100000</x:f>
        <x:v>709.99998</x:v>
      </x:c>
      <x:c r="P1287" s="73" t="n">
        <x:f>COUNTIF($O$1286:$O$1291,"&gt;"&amp;O1287)+1</x:f>
        <x:v>6</x:v>
      </x:c>
      <x:c r="Q1287" s="83" t="n">
        <x:f>MAX($G$1286:$G$1291)-G1287</x:f>
        <x:v>0</x:v>
      </x:c>
      <x:c r="R1287" s="73" t="str">
        <x:f>INDEX(TrackMap!$B$8:$B$141,H1287)</x:f>
        <x:v>发车大直道</x:v>
      </x:c>
    </x:row>
    <x:row r="1288" ht="20" customHeight="1">
      <x:c r="A1288" s="73" t="n">
        <x:v>213</x:v>
      </x:c>
      <x:c r="B1288" s="73" t="n">
        <x:v>3</x:v>
      </x:c>
      <x:c r="C1288" s="73" t="str">
        <x:f>INDEX(Drivers!$B$8:$B$13,B1288)</x:f>
        <x:v>金翼</x:v>
      </x:c>
      <x:c r="D1288" s="83" t="n">
        <x:f>G1282</x:f>
        <x:v>670</x:v>
      </x:c>
      <x:c r="E1288" s="83" t="str">
        <x:f>IF(A1288=0,"GRID",IF(D1288&gt;=Control!$B$17,"FINISHED",IF(AND(A1288&gt;=INDEX(Drivers!$G$8:$G$13,B1288),A1288&lt;INDEX(Drivers!$G$8:$G$13,B1288)+INDEX(Drivers!$J$8:$J$13,B1288)),"PIT",IF(MOD(A1288+INDEX(Drivers!$F$8:$F$13,B1288),Control!$B$11)&lt;Control!$B$13,"BOOST","RACE"))))</x:f>
        <x:v>FINISHED</x:v>
      </x:c>
      <x:c r="F1288" s="83" t="n">
        <x:f>IF(OR(E1288="GRID",E1288="FINISHED",E1288="PIT"),0,MAX(Control!$B$15,(INDEX(Drivers!$D$8:$D$13,B1288)+INDEX(Drivers!$E$8:$E$13,B1288)*SIN((A1288+INDEX(Drivers!$F$8:$F$13,B1288)+Control!$B$16)*Control!$B$14))*INDEX(TrackMap!$M$8:$M$141,MOD(INT(D1288)-1,Control!$B$7)+1)*IF(E1288="BOOST",Control!$B$12,1)))</x:f>
        <x:v>0</x:v>
      </x:c>
      <x:c r="G1288" s="83" t="n">
        <x:f>IF(A1288=0,D1288,MIN(Control!$B$17,D1288+F1288))</x:f>
        <x:v>670</x:v>
      </x:c>
      <x:c r="H1288" s="73" t="n">
        <x:f>MOD(INT(G1288)-1,Control!$B$7)+1</x:f>
        <x:v>134</x:v>
      </x:c>
      <x:c r="I1288" s="73" t="n">
        <x:f>MIN(Control!$B$6,MAX(1,INT(MAX(0,G1288)/Control!$B$7)+1))</x:f>
        <x:v>5</x:v>
      </x:c>
      <x:c r="J1288" s="73" t="n">
        <x:f>INDEX(Drivers!$H$8:$H$13,B1288)</x:f>
        <x:v>1</x:v>
      </x:c>
      <x:c r="K1288" s="73" t="n">
        <x:f>IF(J1288=1,INDEX(TrackMap!$I$8:$I$141,H1288),INDEX(TrackMap!$L$8:$L$141,H1288))</x:f>
        <x:v>3117</x:v>
      </x:c>
      <x:c r="L1288" s="73" t="str">
        <x:f>INDEX(TrackMap!$F$8:$F$141,H1288)</x:f>
        <x:v>←</x:v>
      </x:c>
      <x:c r="M1288" s="87" t="n">
        <x:f>MAX(0,G1288/Control!$B$17)</x:f>
        <x:v>1</x:v>
      </x:c>
      <x:c r="N1288" s="73" t="n">
        <x:f>IF(N1282&gt;0,N1282,IF(G1288&gt;=Control!$B$17,A1288,0))</x:f>
        <x:v>195</x:v>
      </x:c>
      <x:c r="O1288" s="91" t="n">
        <x:f>IF(N1288&gt;0,Control!$B$17+Control!$B$8+1-N1288,G1288)-B1288/100000</x:f>
        <x:v>715.99997</x:v>
      </x:c>
      <x:c r="P1288" s="73" t="n">
        <x:f>COUNTIF($O$1286:$O$1291,"&gt;"&amp;O1288)+1</x:f>
        <x:v>2</x:v>
      </x:c>
      <x:c r="Q1288" s="83" t="n">
        <x:f>MAX($G$1286:$G$1291)-G1288</x:f>
        <x:v>0</x:v>
      </x:c>
      <x:c r="R1288" s="73" t="str">
        <x:f>INDEX(TrackMap!$B$8:$B$141,H1288)</x:f>
        <x:v>发车大直道</x:v>
      </x:c>
    </x:row>
    <x:row r="1289" ht="20" customHeight="1">
      <x:c r="A1289" s="73" t="n">
        <x:v>213</x:v>
      </x:c>
      <x:c r="B1289" s="73" t="n">
        <x:v>4</x:v>
      </x:c>
      <x:c r="C1289" s="73" t="str">
        <x:f>INDEX(Drivers!$B$8:$B$13,B1289)</x:f>
        <x:v>紫影</x:v>
      </x:c>
      <x:c r="D1289" s="83" t="n">
        <x:f>G1283</x:f>
        <x:v>670</x:v>
      </x:c>
      <x:c r="E1289" s="83" t="str">
        <x:f>IF(A1289=0,"GRID",IF(D1289&gt;=Control!$B$17,"FINISHED",IF(AND(A1289&gt;=INDEX(Drivers!$G$8:$G$13,B1289),A1289&lt;INDEX(Drivers!$G$8:$G$13,B1289)+INDEX(Drivers!$J$8:$J$13,B1289)),"PIT",IF(MOD(A1289+INDEX(Drivers!$F$8:$F$13,B1289),Control!$B$11)&lt;Control!$B$13,"BOOST","RACE"))))</x:f>
        <x:v>FINISHED</x:v>
      </x:c>
      <x:c r="F1289" s="83" t="n">
        <x:f>IF(OR(E1289="GRID",E1289="FINISHED",E1289="PIT"),0,MAX(Control!$B$15,(INDEX(Drivers!$D$8:$D$13,B1289)+INDEX(Drivers!$E$8:$E$13,B1289)*SIN((A1289+INDEX(Drivers!$F$8:$F$13,B1289)+Control!$B$16)*Control!$B$14))*INDEX(TrackMap!$M$8:$M$141,MOD(INT(D1289)-1,Control!$B$7)+1)*IF(E1289="BOOST",Control!$B$12,1)))</x:f>
        <x:v>0</x:v>
      </x:c>
      <x:c r="G1289" s="83" t="n">
        <x:f>IF(A1289=0,D1289,MIN(Control!$B$17,D1289+F1289))</x:f>
        <x:v>670</x:v>
      </x:c>
      <x:c r="H1289" s="73" t="n">
        <x:f>MOD(INT(G1289)-1,Control!$B$7)+1</x:f>
        <x:v>134</x:v>
      </x:c>
      <x:c r="I1289" s="73" t="n">
        <x:f>MIN(Control!$B$6,MAX(1,INT(MAX(0,G1289)/Control!$B$7)+1))</x:f>
        <x:v>5</x:v>
      </x:c>
      <x:c r="J1289" s="73" t="n">
        <x:f>INDEX(Drivers!$H$8:$H$13,B1289)</x:f>
        <x:v>2</x:v>
      </x:c>
      <x:c r="K1289" s="73" t="n">
        <x:f>IF(J1289=1,INDEX(TrackMap!$I$8:$I$141,H1289),INDEX(TrackMap!$L$8:$L$141,H1289))</x:f>
        <x:v>3017</x:v>
      </x:c>
      <x:c r="L1289" s="73" t="str">
        <x:f>INDEX(TrackMap!$F$8:$F$141,H1289)</x:f>
        <x:v>←</x:v>
      </x:c>
      <x:c r="M1289" s="87" t="n">
        <x:f>MAX(0,G1289/Control!$B$17)</x:f>
        <x:v>1</x:v>
      </x:c>
      <x:c r="N1289" s="73" t="n">
        <x:f>IF(N1283&gt;0,N1283,IF(G1289&gt;=Control!$B$17,A1289,0))</x:f>
        <x:v>198</x:v>
      </x:c>
      <x:c r="O1289" s="91" t="n">
        <x:f>IF(N1289&gt;0,Control!$B$17+Control!$B$8+1-N1289,G1289)-B1289/100000</x:f>
        <x:v>712.99996</x:v>
      </x:c>
      <x:c r="P1289" s="73" t="n">
        <x:f>COUNTIF($O$1286:$O$1291,"&gt;"&amp;O1289)+1</x:f>
        <x:v>5</x:v>
      </x:c>
      <x:c r="Q1289" s="83" t="n">
        <x:f>MAX($G$1286:$G$1291)-G1289</x:f>
        <x:v>0</x:v>
      </x:c>
      <x:c r="R1289" s="73" t="str">
        <x:f>INDEX(TrackMap!$B$8:$B$141,H1289)</x:f>
        <x:v>发车大直道</x:v>
      </x:c>
    </x:row>
    <x:row r="1290" ht="20" customHeight="1">
      <x:c r="A1290" s="73" t="n">
        <x:v>213</x:v>
      </x:c>
      <x:c r="B1290" s="73" t="n">
        <x:v>5</x:v>
      </x:c>
      <x:c r="C1290" s="73" t="str">
        <x:f>INDEX(Drivers!$B$8:$B$13,B1290)</x:f>
        <x:v>青锋</x:v>
      </x:c>
      <x:c r="D1290" s="83" t="n">
        <x:f>G1284</x:f>
        <x:v>670</x:v>
      </x:c>
      <x:c r="E1290" s="83" t="str">
        <x:f>IF(A1290=0,"GRID",IF(D1290&gt;=Control!$B$17,"FINISHED",IF(AND(A1290&gt;=INDEX(Drivers!$G$8:$G$13,B1290),A1290&lt;INDEX(Drivers!$G$8:$G$13,B1290)+INDEX(Drivers!$J$8:$J$13,B1290)),"PIT",IF(MOD(A1290+INDEX(Drivers!$F$8:$F$13,B1290),Control!$B$11)&lt;Control!$B$13,"BOOST","RACE"))))</x:f>
        <x:v>FINISHED</x:v>
      </x:c>
      <x:c r="F1290" s="83" t="n">
        <x:f>IF(OR(E1290="GRID",E1290="FINISHED",E1290="PIT"),0,MAX(Control!$B$15,(INDEX(Drivers!$D$8:$D$13,B1290)+INDEX(Drivers!$E$8:$E$13,B1290)*SIN((A1290+INDEX(Drivers!$F$8:$F$13,B1290)+Control!$B$16)*Control!$B$14))*INDEX(TrackMap!$M$8:$M$141,MOD(INT(D1290)-1,Control!$B$7)+1)*IF(E1290="BOOST",Control!$B$12,1)))</x:f>
        <x:v>0</x:v>
      </x:c>
      <x:c r="G1290" s="83" t="n">
        <x:f>IF(A1290=0,D1290,MIN(Control!$B$17,D1290+F1290))</x:f>
        <x:v>670</x:v>
      </x:c>
      <x:c r="H1290" s="73" t="n">
        <x:f>MOD(INT(G1290)-1,Control!$B$7)+1</x:f>
        <x:v>134</x:v>
      </x:c>
      <x:c r="I1290" s="73" t="n">
        <x:f>MIN(Control!$B$6,MAX(1,INT(MAX(0,G1290)/Control!$B$7)+1))</x:f>
        <x:v>5</x:v>
      </x:c>
      <x:c r="J1290" s="73" t="n">
        <x:f>INDEX(Drivers!$H$8:$H$13,B1290)</x:f>
        <x:v>1</x:v>
      </x:c>
      <x:c r="K1290" s="73" t="n">
        <x:f>IF(J1290=1,INDEX(TrackMap!$I$8:$I$141,H1290),INDEX(TrackMap!$L$8:$L$141,H1290))</x:f>
        <x:v>3117</x:v>
      </x:c>
      <x:c r="L1290" s="73" t="str">
        <x:f>INDEX(TrackMap!$F$8:$F$141,H1290)</x:f>
        <x:v>←</x:v>
      </x:c>
      <x:c r="M1290" s="87" t="n">
        <x:f>MAX(0,G1290/Control!$B$17)</x:f>
        <x:v>1</x:v>
      </x:c>
      <x:c r="N1290" s="73" t="n">
        <x:f>IF(N1284&gt;0,N1284,IF(G1290&gt;=Control!$B$17,A1290,0))</x:f>
        <x:v>195</x:v>
      </x:c>
      <x:c r="O1290" s="91" t="n">
        <x:f>IF(N1290&gt;0,Control!$B$17+Control!$B$8+1-N1290,G1290)-B1290/100000</x:f>
        <x:v>715.99995</x:v>
      </x:c>
      <x:c r="P1290" s="73" t="n">
        <x:f>COUNTIF($O$1286:$O$1291,"&gt;"&amp;O1290)+1</x:f>
        <x:v>3</x:v>
      </x:c>
      <x:c r="Q1290" s="83" t="n">
        <x:f>MAX($G$1286:$G$1291)-G1290</x:f>
        <x:v>0</x:v>
      </x:c>
      <x:c r="R1290" s="73" t="str">
        <x:f>INDEX(TrackMap!$B$8:$B$141,H1290)</x:f>
        <x:v>发车大直道</x:v>
      </x:c>
    </x:row>
    <x:row r="1291" ht="20" customHeight="1">
      <x:c r="A1291" s="73" t="n">
        <x:v>213</x:v>
      </x:c>
      <x:c r="B1291" s="73" t="n">
        <x:v>6</x:v>
      </x:c>
      <x:c r="C1291" s="73" t="str">
        <x:f>INDEX(Drivers!$B$8:$B$13,B1291)</x:f>
        <x:v>玫速</x:v>
      </x:c>
      <x:c r="D1291" s="83" t="n">
        <x:f>G1285</x:f>
        <x:v>670</x:v>
      </x:c>
      <x:c r="E1291" s="83" t="str">
        <x:f>IF(A1291=0,"GRID",IF(D1291&gt;=Control!$B$17,"FINISHED",IF(AND(A1291&gt;=INDEX(Drivers!$G$8:$G$13,B1291),A1291&lt;INDEX(Drivers!$G$8:$G$13,B1291)+INDEX(Drivers!$J$8:$J$13,B1291)),"PIT",IF(MOD(A1291+INDEX(Drivers!$F$8:$F$13,B1291),Control!$B$11)&lt;Control!$B$13,"BOOST","RACE"))))</x:f>
        <x:v>FINISHED</x:v>
      </x:c>
      <x:c r="F1291" s="83" t="n">
        <x:f>IF(OR(E1291="GRID",E1291="FINISHED",E1291="PIT"),0,MAX(Control!$B$15,(INDEX(Drivers!$D$8:$D$13,B1291)+INDEX(Drivers!$E$8:$E$13,B1291)*SIN((A1291+INDEX(Drivers!$F$8:$F$13,B1291)+Control!$B$16)*Control!$B$14))*INDEX(TrackMap!$M$8:$M$141,MOD(INT(D1291)-1,Control!$B$7)+1)*IF(E1291="BOOST",Control!$B$12,1)))</x:f>
        <x:v>0</x:v>
      </x:c>
      <x:c r="G1291" s="83" t="n">
        <x:f>IF(A1291=0,D1291,MIN(Control!$B$17,D1291+F1291))</x:f>
        <x:v>670</x:v>
      </x:c>
      <x:c r="H1291" s="73" t="n">
        <x:f>MOD(INT(G1291)-1,Control!$B$7)+1</x:f>
        <x:v>134</x:v>
      </x:c>
      <x:c r="I1291" s="73" t="n">
        <x:f>MIN(Control!$B$6,MAX(1,INT(MAX(0,G1291)/Control!$B$7)+1))</x:f>
        <x:v>5</x:v>
      </x:c>
      <x:c r="J1291" s="73" t="n">
        <x:f>INDEX(Drivers!$H$8:$H$13,B1291)</x:f>
        <x:v>2</x:v>
      </x:c>
      <x:c r="K1291" s="73" t="n">
        <x:f>IF(J1291=1,INDEX(TrackMap!$I$8:$I$141,H1291),INDEX(TrackMap!$L$8:$L$141,H1291))</x:f>
        <x:v>3017</x:v>
      </x:c>
      <x:c r="L1291" s="73" t="str">
        <x:f>INDEX(TrackMap!$F$8:$F$141,H1291)</x:f>
        <x:v>←</x:v>
      </x:c>
      <x:c r="M1291" s="87" t="n">
        <x:f>MAX(0,G1291/Control!$B$17)</x:f>
        <x:v>1</x:v>
      </x:c>
      <x:c r="N1291" s="73" t="n">
        <x:f>IF(N1285&gt;0,N1285,IF(G1291&gt;=Control!$B$17,A1291,0))</x:f>
        <x:v>196</x:v>
      </x:c>
      <x:c r="O1291" s="91" t="n">
        <x:f>IF(N1291&gt;0,Control!$B$17+Control!$B$8+1-N1291,G1291)-B1291/100000</x:f>
        <x:v>714.99994</x:v>
      </x:c>
      <x:c r="P1291" s="73" t="n">
        <x:f>COUNTIF($O$1286:$O$1291,"&gt;"&amp;O1291)+1</x:f>
        <x:v>4</x:v>
      </x:c>
      <x:c r="Q1291" s="83" t="n">
        <x:f>MAX($G$1286:$G$1291)-G1291</x:f>
        <x:v>0</x:v>
      </x:c>
      <x:c r="R1291" s="73" t="str">
        <x:f>INDEX(TrackMap!$B$8:$B$141,H1291)</x:f>
        <x:v>发车大直道</x:v>
      </x:c>
    </x:row>
    <x:row r="1292" ht="20" customHeight="1">
      <x:c r="A1292" s="73" t="n">
        <x:v>214</x:v>
      </x:c>
      <x:c r="B1292" s="73" t="n">
        <x:v>1</x:v>
      </x:c>
      <x:c r="C1292" s="73" t="str">
        <x:f>INDEX(Drivers!$B$8:$B$13,B1292)</x:f>
        <x:v>赤焰</x:v>
      </x:c>
      <x:c r="D1292" s="83" t="n">
        <x:f>G1286</x:f>
        <x:v>670</x:v>
      </x:c>
      <x:c r="E1292" s="83" t="str">
        <x:f>IF(A1292=0,"GRID",IF(D1292&gt;=Control!$B$17,"FINISHED",IF(AND(A1292&gt;=INDEX(Drivers!$G$8:$G$13,B1292),A1292&lt;INDEX(Drivers!$G$8:$G$13,B1292)+INDEX(Drivers!$J$8:$J$13,B1292)),"PIT",IF(MOD(A1292+INDEX(Drivers!$F$8:$F$13,B1292),Control!$B$11)&lt;Control!$B$13,"BOOST","RACE"))))</x:f>
        <x:v>FINISHED</x:v>
      </x:c>
      <x:c r="F1292" s="83" t="n">
        <x:f>IF(OR(E1292="GRID",E1292="FINISHED",E1292="PIT"),0,MAX(Control!$B$15,(INDEX(Drivers!$D$8:$D$13,B1292)+INDEX(Drivers!$E$8:$E$13,B1292)*SIN((A1292+INDEX(Drivers!$F$8:$F$13,B1292)+Control!$B$16)*Control!$B$14))*INDEX(TrackMap!$M$8:$M$141,MOD(INT(D1292)-1,Control!$B$7)+1)*IF(E1292="BOOST",Control!$B$12,1)))</x:f>
        <x:v>0</x:v>
      </x:c>
      <x:c r="G1292" s="83" t="n">
        <x:f>IF(A1292=0,D1292,MIN(Control!$B$17,D1292+F1292))</x:f>
        <x:v>670</x:v>
      </x:c>
      <x:c r="H1292" s="73" t="n">
        <x:f>MOD(INT(G1292)-1,Control!$B$7)+1</x:f>
        <x:v>134</x:v>
      </x:c>
      <x:c r="I1292" s="73" t="n">
        <x:f>MIN(Control!$B$6,MAX(1,INT(MAX(0,G1292)/Control!$B$7)+1))</x:f>
        <x:v>5</x:v>
      </x:c>
      <x:c r="J1292" s="73" t="n">
        <x:f>INDEX(Drivers!$H$8:$H$13,B1292)</x:f>
        <x:v>1</x:v>
      </x:c>
      <x:c r="K1292" s="73" t="n">
        <x:f>IF(J1292=1,INDEX(TrackMap!$I$8:$I$141,H1292),INDEX(TrackMap!$L$8:$L$141,H1292))</x:f>
        <x:v>3117</x:v>
      </x:c>
      <x:c r="L1292" s="73" t="str">
        <x:f>INDEX(TrackMap!$F$8:$F$141,H1292)</x:f>
        <x:v>←</x:v>
      </x:c>
      <x:c r="M1292" s="87" t="n">
        <x:f>MAX(0,G1292/Control!$B$17)</x:f>
        <x:v>1</x:v>
      </x:c>
      <x:c r="N1292" s="73" t="n">
        <x:f>IF(N1286&gt;0,N1286,IF(G1292&gt;=Control!$B$17,A1292,0))</x:f>
        <x:v>194</x:v>
      </x:c>
      <x:c r="O1292" s="91" t="n">
        <x:f>IF(N1292&gt;0,Control!$B$17+Control!$B$8+1-N1292,G1292)-B1292/100000</x:f>
        <x:v>716.99999</x:v>
      </x:c>
      <x:c r="P1292" s="73" t="n">
        <x:f>COUNTIF($O$1292:$O$1297,"&gt;"&amp;O1292)+1</x:f>
        <x:v>1</x:v>
      </x:c>
      <x:c r="Q1292" s="83" t="n">
        <x:f>MAX($G$1292:$G$1297)-G1292</x:f>
        <x:v>0</x:v>
      </x:c>
      <x:c r="R1292" s="73" t="str">
        <x:f>INDEX(TrackMap!$B$8:$B$141,H1292)</x:f>
        <x:v>发车大直道</x:v>
      </x:c>
    </x:row>
    <x:row r="1293" ht="20" customHeight="1">
      <x:c r="A1293" s="73" t="n">
        <x:v>214</x:v>
      </x:c>
      <x:c r="B1293" s="73" t="n">
        <x:v>2</x:v>
      </x:c>
      <x:c r="C1293" s="73" t="str">
        <x:f>INDEX(Drivers!$B$8:$B$13,B1293)</x:f>
        <x:v>蓝电</x:v>
      </x:c>
      <x:c r="D1293" s="83" t="n">
        <x:f>G1287</x:f>
        <x:v>670</x:v>
      </x:c>
      <x:c r="E1293" s="83" t="str">
        <x:f>IF(A1293=0,"GRID",IF(D1293&gt;=Control!$B$17,"FINISHED",IF(AND(A1293&gt;=INDEX(Drivers!$G$8:$G$13,B1293),A1293&lt;INDEX(Drivers!$G$8:$G$13,B1293)+INDEX(Drivers!$J$8:$J$13,B1293)),"PIT",IF(MOD(A1293+INDEX(Drivers!$F$8:$F$13,B1293),Control!$B$11)&lt;Control!$B$13,"BOOST","RACE"))))</x:f>
        <x:v>FINISHED</x:v>
      </x:c>
      <x:c r="F1293" s="83" t="n">
        <x:f>IF(OR(E1293="GRID",E1293="FINISHED",E1293="PIT"),0,MAX(Control!$B$15,(INDEX(Drivers!$D$8:$D$13,B1293)+INDEX(Drivers!$E$8:$E$13,B1293)*SIN((A1293+INDEX(Drivers!$F$8:$F$13,B1293)+Control!$B$16)*Control!$B$14))*INDEX(TrackMap!$M$8:$M$141,MOD(INT(D1293)-1,Control!$B$7)+1)*IF(E1293="BOOST",Control!$B$12,1)))</x:f>
        <x:v>0</x:v>
      </x:c>
      <x:c r="G1293" s="83" t="n">
        <x:f>IF(A1293=0,D1293,MIN(Control!$B$17,D1293+F1293))</x:f>
        <x:v>670</x:v>
      </x:c>
      <x:c r="H1293" s="73" t="n">
        <x:f>MOD(INT(G1293)-1,Control!$B$7)+1</x:f>
        <x:v>134</x:v>
      </x:c>
      <x:c r="I1293" s="73" t="n">
        <x:f>MIN(Control!$B$6,MAX(1,INT(MAX(0,G1293)/Control!$B$7)+1))</x:f>
        <x:v>5</x:v>
      </x:c>
      <x:c r="J1293" s="73" t="n">
        <x:f>INDEX(Drivers!$H$8:$H$13,B1293)</x:f>
        <x:v>2</x:v>
      </x:c>
      <x:c r="K1293" s="73" t="n">
        <x:f>IF(J1293=1,INDEX(TrackMap!$I$8:$I$141,H1293),INDEX(TrackMap!$L$8:$L$141,H1293))</x:f>
        <x:v>3017</x:v>
      </x:c>
      <x:c r="L1293" s="73" t="str">
        <x:f>INDEX(TrackMap!$F$8:$F$141,H1293)</x:f>
        <x:v>←</x:v>
      </x:c>
      <x:c r="M1293" s="87" t="n">
        <x:f>MAX(0,G1293/Control!$B$17)</x:f>
        <x:v>1</x:v>
      </x:c>
      <x:c r="N1293" s="73" t="n">
        <x:f>IF(N1287&gt;0,N1287,IF(G1293&gt;=Control!$B$17,A1293,0))</x:f>
        <x:v>201</x:v>
      </x:c>
      <x:c r="O1293" s="91" t="n">
        <x:f>IF(N1293&gt;0,Control!$B$17+Control!$B$8+1-N1293,G1293)-B1293/100000</x:f>
        <x:v>709.99998</x:v>
      </x:c>
      <x:c r="P1293" s="73" t="n">
        <x:f>COUNTIF($O$1292:$O$1297,"&gt;"&amp;O1293)+1</x:f>
        <x:v>6</x:v>
      </x:c>
      <x:c r="Q1293" s="83" t="n">
        <x:f>MAX($G$1292:$G$1297)-G1293</x:f>
        <x:v>0</x:v>
      </x:c>
      <x:c r="R1293" s="73" t="str">
        <x:f>INDEX(TrackMap!$B$8:$B$141,H1293)</x:f>
        <x:v>发车大直道</x:v>
      </x:c>
    </x:row>
    <x:row r="1294" ht="20" customHeight="1">
      <x:c r="A1294" s="73" t="n">
        <x:v>214</x:v>
      </x:c>
      <x:c r="B1294" s="73" t="n">
        <x:v>3</x:v>
      </x:c>
      <x:c r="C1294" s="73" t="str">
        <x:f>INDEX(Drivers!$B$8:$B$13,B1294)</x:f>
        <x:v>金翼</x:v>
      </x:c>
      <x:c r="D1294" s="83" t="n">
        <x:f>G1288</x:f>
        <x:v>670</x:v>
      </x:c>
      <x:c r="E1294" s="83" t="str">
        <x:f>IF(A1294=0,"GRID",IF(D1294&gt;=Control!$B$17,"FINISHED",IF(AND(A1294&gt;=INDEX(Drivers!$G$8:$G$13,B1294),A1294&lt;INDEX(Drivers!$G$8:$G$13,B1294)+INDEX(Drivers!$J$8:$J$13,B1294)),"PIT",IF(MOD(A1294+INDEX(Drivers!$F$8:$F$13,B1294),Control!$B$11)&lt;Control!$B$13,"BOOST","RACE"))))</x:f>
        <x:v>FINISHED</x:v>
      </x:c>
      <x:c r="F1294" s="83" t="n">
        <x:f>IF(OR(E1294="GRID",E1294="FINISHED",E1294="PIT"),0,MAX(Control!$B$15,(INDEX(Drivers!$D$8:$D$13,B1294)+INDEX(Drivers!$E$8:$E$13,B1294)*SIN((A1294+INDEX(Drivers!$F$8:$F$13,B1294)+Control!$B$16)*Control!$B$14))*INDEX(TrackMap!$M$8:$M$141,MOD(INT(D1294)-1,Control!$B$7)+1)*IF(E1294="BOOST",Control!$B$12,1)))</x:f>
        <x:v>0</x:v>
      </x:c>
      <x:c r="G1294" s="83" t="n">
        <x:f>IF(A1294=0,D1294,MIN(Control!$B$17,D1294+F1294))</x:f>
        <x:v>670</x:v>
      </x:c>
      <x:c r="H1294" s="73" t="n">
        <x:f>MOD(INT(G1294)-1,Control!$B$7)+1</x:f>
        <x:v>134</x:v>
      </x:c>
      <x:c r="I1294" s="73" t="n">
        <x:f>MIN(Control!$B$6,MAX(1,INT(MAX(0,G1294)/Control!$B$7)+1))</x:f>
        <x:v>5</x:v>
      </x:c>
      <x:c r="J1294" s="73" t="n">
        <x:f>INDEX(Drivers!$H$8:$H$13,B1294)</x:f>
        <x:v>1</x:v>
      </x:c>
      <x:c r="K1294" s="73" t="n">
        <x:f>IF(J1294=1,INDEX(TrackMap!$I$8:$I$141,H1294),INDEX(TrackMap!$L$8:$L$141,H1294))</x:f>
        <x:v>3117</x:v>
      </x:c>
      <x:c r="L1294" s="73" t="str">
        <x:f>INDEX(TrackMap!$F$8:$F$141,H1294)</x:f>
        <x:v>←</x:v>
      </x:c>
      <x:c r="M1294" s="87" t="n">
        <x:f>MAX(0,G1294/Control!$B$17)</x:f>
        <x:v>1</x:v>
      </x:c>
      <x:c r="N1294" s="73" t="n">
        <x:f>IF(N1288&gt;0,N1288,IF(G1294&gt;=Control!$B$17,A1294,0))</x:f>
        <x:v>195</x:v>
      </x:c>
      <x:c r="O1294" s="91" t="n">
        <x:f>IF(N1294&gt;0,Control!$B$17+Control!$B$8+1-N1294,G1294)-B1294/100000</x:f>
        <x:v>715.99997</x:v>
      </x:c>
      <x:c r="P1294" s="73" t="n">
        <x:f>COUNTIF($O$1292:$O$1297,"&gt;"&amp;O1294)+1</x:f>
        <x:v>2</x:v>
      </x:c>
      <x:c r="Q1294" s="83" t="n">
        <x:f>MAX($G$1292:$G$1297)-G1294</x:f>
        <x:v>0</x:v>
      </x:c>
      <x:c r="R1294" s="73" t="str">
        <x:f>INDEX(TrackMap!$B$8:$B$141,H1294)</x:f>
        <x:v>发车大直道</x:v>
      </x:c>
    </x:row>
    <x:row r="1295" ht="20" customHeight="1">
      <x:c r="A1295" s="73" t="n">
        <x:v>214</x:v>
      </x:c>
      <x:c r="B1295" s="73" t="n">
        <x:v>4</x:v>
      </x:c>
      <x:c r="C1295" s="73" t="str">
        <x:f>INDEX(Drivers!$B$8:$B$13,B1295)</x:f>
        <x:v>紫影</x:v>
      </x:c>
      <x:c r="D1295" s="83" t="n">
        <x:f>G1289</x:f>
        <x:v>670</x:v>
      </x:c>
      <x:c r="E1295" s="83" t="str">
        <x:f>IF(A1295=0,"GRID",IF(D1295&gt;=Control!$B$17,"FINISHED",IF(AND(A1295&gt;=INDEX(Drivers!$G$8:$G$13,B1295),A1295&lt;INDEX(Drivers!$G$8:$G$13,B1295)+INDEX(Drivers!$J$8:$J$13,B1295)),"PIT",IF(MOD(A1295+INDEX(Drivers!$F$8:$F$13,B1295),Control!$B$11)&lt;Control!$B$13,"BOOST","RACE"))))</x:f>
        <x:v>FINISHED</x:v>
      </x:c>
      <x:c r="F1295" s="83" t="n">
        <x:f>IF(OR(E1295="GRID",E1295="FINISHED",E1295="PIT"),0,MAX(Control!$B$15,(INDEX(Drivers!$D$8:$D$13,B1295)+INDEX(Drivers!$E$8:$E$13,B1295)*SIN((A1295+INDEX(Drivers!$F$8:$F$13,B1295)+Control!$B$16)*Control!$B$14))*INDEX(TrackMap!$M$8:$M$141,MOD(INT(D1295)-1,Control!$B$7)+1)*IF(E1295="BOOST",Control!$B$12,1)))</x:f>
        <x:v>0</x:v>
      </x:c>
      <x:c r="G1295" s="83" t="n">
        <x:f>IF(A1295=0,D1295,MIN(Control!$B$17,D1295+F1295))</x:f>
        <x:v>670</x:v>
      </x:c>
      <x:c r="H1295" s="73" t="n">
        <x:f>MOD(INT(G1295)-1,Control!$B$7)+1</x:f>
        <x:v>134</x:v>
      </x:c>
      <x:c r="I1295" s="73" t="n">
        <x:f>MIN(Control!$B$6,MAX(1,INT(MAX(0,G1295)/Control!$B$7)+1))</x:f>
        <x:v>5</x:v>
      </x:c>
      <x:c r="J1295" s="73" t="n">
        <x:f>INDEX(Drivers!$H$8:$H$13,B1295)</x:f>
        <x:v>2</x:v>
      </x:c>
      <x:c r="K1295" s="73" t="n">
        <x:f>IF(J1295=1,INDEX(TrackMap!$I$8:$I$141,H1295),INDEX(TrackMap!$L$8:$L$141,H1295))</x:f>
        <x:v>3017</x:v>
      </x:c>
      <x:c r="L1295" s="73" t="str">
        <x:f>INDEX(TrackMap!$F$8:$F$141,H1295)</x:f>
        <x:v>←</x:v>
      </x:c>
      <x:c r="M1295" s="87" t="n">
        <x:f>MAX(0,G1295/Control!$B$17)</x:f>
        <x:v>1</x:v>
      </x:c>
      <x:c r="N1295" s="73" t="n">
        <x:f>IF(N1289&gt;0,N1289,IF(G1295&gt;=Control!$B$17,A1295,0))</x:f>
        <x:v>198</x:v>
      </x:c>
      <x:c r="O1295" s="91" t="n">
        <x:f>IF(N1295&gt;0,Control!$B$17+Control!$B$8+1-N1295,G1295)-B1295/100000</x:f>
        <x:v>712.99996</x:v>
      </x:c>
      <x:c r="P1295" s="73" t="n">
        <x:f>COUNTIF($O$1292:$O$1297,"&gt;"&amp;O1295)+1</x:f>
        <x:v>5</x:v>
      </x:c>
      <x:c r="Q1295" s="83" t="n">
        <x:f>MAX($G$1292:$G$1297)-G1295</x:f>
        <x:v>0</x:v>
      </x:c>
      <x:c r="R1295" s="73" t="str">
        <x:f>INDEX(TrackMap!$B$8:$B$141,H1295)</x:f>
        <x:v>发车大直道</x:v>
      </x:c>
    </x:row>
    <x:row r="1296" ht="20" customHeight="1">
      <x:c r="A1296" s="73" t="n">
        <x:v>214</x:v>
      </x:c>
      <x:c r="B1296" s="73" t="n">
        <x:v>5</x:v>
      </x:c>
      <x:c r="C1296" s="73" t="str">
        <x:f>INDEX(Drivers!$B$8:$B$13,B1296)</x:f>
        <x:v>青锋</x:v>
      </x:c>
      <x:c r="D1296" s="83" t="n">
        <x:f>G1290</x:f>
        <x:v>670</x:v>
      </x:c>
      <x:c r="E1296" s="83" t="str">
        <x:f>IF(A1296=0,"GRID",IF(D1296&gt;=Control!$B$17,"FINISHED",IF(AND(A1296&gt;=INDEX(Drivers!$G$8:$G$13,B1296),A1296&lt;INDEX(Drivers!$G$8:$G$13,B1296)+INDEX(Drivers!$J$8:$J$13,B1296)),"PIT",IF(MOD(A1296+INDEX(Drivers!$F$8:$F$13,B1296),Control!$B$11)&lt;Control!$B$13,"BOOST","RACE"))))</x:f>
        <x:v>FINISHED</x:v>
      </x:c>
      <x:c r="F1296" s="83" t="n">
        <x:f>IF(OR(E1296="GRID",E1296="FINISHED",E1296="PIT"),0,MAX(Control!$B$15,(INDEX(Drivers!$D$8:$D$13,B1296)+INDEX(Drivers!$E$8:$E$13,B1296)*SIN((A1296+INDEX(Drivers!$F$8:$F$13,B1296)+Control!$B$16)*Control!$B$14))*INDEX(TrackMap!$M$8:$M$141,MOD(INT(D1296)-1,Control!$B$7)+1)*IF(E1296="BOOST",Control!$B$12,1)))</x:f>
        <x:v>0</x:v>
      </x:c>
      <x:c r="G1296" s="83" t="n">
        <x:f>IF(A1296=0,D1296,MIN(Control!$B$17,D1296+F1296))</x:f>
        <x:v>670</x:v>
      </x:c>
      <x:c r="H1296" s="73" t="n">
        <x:f>MOD(INT(G1296)-1,Control!$B$7)+1</x:f>
        <x:v>134</x:v>
      </x:c>
      <x:c r="I1296" s="73" t="n">
        <x:f>MIN(Control!$B$6,MAX(1,INT(MAX(0,G1296)/Control!$B$7)+1))</x:f>
        <x:v>5</x:v>
      </x:c>
      <x:c r="J1296" s="73" t="n">
        <x:f>INDEX(Drivers!$H$8:$H$13,B1296)</x:f>
        <x:v>1</x:v>
      </x:c>
      <x:c r="K1296" s="73" t="n">
        <x:f>IF(J1296=1,INDEX(TrackMap!$I$8:$I$141,H1296),INDEX(TrackMap!$L$8:$L$141,H1296))</x:f>
        <x:v>3117</x:v>
      </x:c>
      <x:c r="L1296" s="73" t="str">
        <x:f>INDEX(TrackMap!$F$8:$F$141,H1296)</x:f>
        <x:v>←</x:v>
      </x:c>
      <x:c r="M1296" s="87" t="n">
        <x:f>MAX(0,G1296/Control!$B$17)</x:f>
        <x:v>1</x:v>
      </x:c>
      <x:c r="N1296" s="73" t="n">
        <x:f>IF(N1290&gt;0,N1290,IF(G1296&gt;=Control!$B$17,A1296,0))</x:f>
        <x:v>195</x:v>
      </x:c>
      <x:c r="O1296" s="91" t="n">
        <x:f>IF(N1296&gt;0,Control!$B$17+Control!$B$8+1-N1296,G1296)-B1296/100000</x:f>
        <x:v>715.99995</x:v>
      </x:c>
      <x:c r="P1296" s="73" t="n">
        <x:f>COUNTIF($O$1292:$O$1297,"&gt;"&amp;O1296)+1</x:f>
        <x:v>3</x:v>
      </x:c>
      <x:c r="Q1296" s="83" t="n">
        <x:f>MAX($G$1292:$G$1297)-G1296</x:f>
        <x:v>0</x:v>
      </x:c>
      <x:c r="R1296" s="73" t="str">
        <x:f>INDEX(TrackMap!$B$8:$B$141,H1296)</x:f>
        <x:v>发车大直道</x:v>
      </x:c>
    </x:row>
    <x:row r="1297" ht="20" customHeight="1">
      <x:c r="A1297" s="73" t="n">
        <x:v>214</x:v>
      </x:c>
      <x:c r="B1297" s="73" t="n">
        <x:v>6</x:v>
      </x:c>
      <x:c r="C1297" s="73" t="str">
        <x:f>INDEX(Drivers!$B$8:$B$13,B1297)</x:f>
        <x:v>玫速</x:v>
      </x:c>
      <x:c r="D1297" s="83" t="n">
        <x:f>G1291</x:f>
        <x:v>670</x:v>
      </x:c>
      <x:c r="E1297" s="83" t="str">
        <x:f>IF(A1297=0,"GRID",IF(D1297&gt;=Control!$B$17,"FINISHED",IF(AND(A1297&gt;=INDEX(Drivers!$G$8:$G$13,B1297),A1297&lt;INDEX(Drivers!$G$8:$G$13,B1297)+INDEX(Drivers!$J$8:$J$13,B1297)),"PIT",IF(MOD(A1297+INDEX(Drivers!$F$8:$F$13,B1297),Control!$B$11)&lt;Control!$B$13,"BOOST","RACE"))))</x:f>
        <x:v>FINISHED</x:v>
      </x:c>
      <x:c r="F1297" s="83" t="n">
        <x:f>IF(OR(E1297="GRID",E1297="FINISHED",E1297="PIT"),0,MAX(Control!$B$15,(INDEX(Drivers!$D$8:$D$13,B1297)+INDEX(Drivers!$E$8:$E$13,B1297)*SIN((A1297+INDEX(Drivers!$F$8:$F$13,B1297)+Control!$B$16)*Control!$B$14))*INDEX(TrackMap!$M$8:$M$141,MOD(INT(D1297)-1,Control!$B$7)+1)*IF(E1297="BOOST",Control!$B$12,1)))</x:f>
        <x:v>0</x:v>
      </x:c>
      <x:c r="G1297" s="83" t="n">
        <x:f>IF(A1297=0,D1297,MIN(Control!$B$17,D1297+F1297))</x:f>
        <x:v>670</x:v>
      </x:c>
      <x:c r="H1297" s="73" t="n">
        <x:f>MOD(INT(G1297)-1,Control!$B$7)+1</x:f>
        <x:v>134</x:v>
      </x:c>
      <x:c r="I1297" s="73" t="n">
        <x:f>MIN(Control!$B$6,MAX(1,INT(MAX(0,G1297)/Control!$B$7)+1))</x:f>
        <x:v>5</x:v>
      </x:c>
      <x:c r="J1297" s="73" t="n">
        <x:f>INDEX(Drivers!$H$8:$H$13,B1297)</x:f>
        <x:v>2</x:v>
      </x:c>
      <x:c r="K1297" s="73" t="n">
        <x:f>IF(J1297=1,INDEX(TrackMap!$I$8:$I$141,H1297),INDEX(TrackMap!$L$8:$L$141,H1297))</x:f>
        <x:v>3017</x:v>
      </x:c>
      <x:c r="L1297" s="73" t="str">
        <x:f>INDEX(TrackMap!$F$8:$F$141,H1297)</x:f>
        <x:v>←</x:v>
      </x:c>
      <x:c r="M1297" s="87" t="n">
        <x:f>MAX(0,G1297/Control!$B$17)</x:f>
        <x:v>1</x:v>
      </x:c>
      <x:c r="N1297" s="73" t="n">
        <x:f>IF(N1291&gt;0,N1291,IF(G1297&gt;=Control!$B$17,A1297,0))</x:f>
        <x:v>196</x:v>
      </x:c>
      <x:c r="O1297" s="91" t="n">
        <x:f>IF(N1297&gt;0,Control!$B$17+Control!$B$8+1-N1297,G1297)-B1297/100000</x:f>
        <x:v>714.99994</x:v>
      </x:c>
      <x:c r="P1297" s="73" t="n">
        <x:f>COUNTIF($O$1292:$O$1297,"&gt;"&amp;O1297)+1</x:f>
        <x:v>4</x:v>
      </x:c>
      <x:c r="Q1297" s="83" t="n">
        <x:f>MAX($G$1292:$G$1297)-G1297</x:f>
        <x:v>0</x:v>
      </x:c>
      <x:c r="R1297" s="73" t="str">
        <x:f>INDEX(TrackMap!$B$8:$B$141,H1297)</x:f>
        <x:v>发车大直道</x:v>
      </x:c>
    </x:row>
    <x:row r="1298" ht="20" customHeight="1">
      <x:c r="A1298" s="73" t="n">
        <x:v>215</x:v>
      </x:c>
      <x:c r="B1298" s="73" t="n">
        <x:v>1</x:v>
      </x:c>
      <x:c r="C1298" s="73" t="str">
        <x:f>INDEX(Drivers!$B$8:$B$13,B1298)</x:f>
        <x:v>赤焰</x:v>
      </x:c>
      <x:c r="D1298" s="83" t="n">
        <x:f>G1292</x:f>
        <x:v>670</x:v>
      </x:c>
      <x:c r="E1298" s="83" t="str">
        <x:f>IF(A1298=0,"GRID",IF(D1298&gt;=Control!$B$17,"FINISHED",IF(AND(A1298&gt;=INDEX(Drivers!$G$8:$G$13,B1298),A1298&lt;INDEX(Drivers!$G$8:$G$13,B1298)+INDEX(Drivers!$J$8:$J$13,B1298)),"PIT",IF(MOD(A1298+INDEX(Drivers!$F$8:$F$13,B1298),Control!$B$11)&lt;Control!$B$13,"BOOST","RACE"))))</x:f>
        <x:v>FINISHED</x:v>
      </x:c>
      <x:c r="F1298" s="83" t="n">
        <x:f>IF(OR(E1298="GRID",E1298="FINISHED",E1298="PIT"),0,MAX(Control!$B$15,(INDEX(Drivers!$D$8:$D$13,B1298)+INDEX(Drivers!$E$8:$E$13,B1298)*SIN((A1298+INDEX(Drivers!$F$8:$F$13,B1298)+Control!$B$16)*Control!$B$14))*INDEX(TrackMap!$M$8:$M$141,MOD(INT(D1298)-1,Control!$B$7)+1)*IF(E1298="BOOST",Control!$B$12,1)))</x:f>
        <x:v>0</x:v>
      </x:c>
      <x:c r="G1298" s="83" t="n">
        <x:f>IF(A1298=0,D1298,MIN(Control!$B$17,D1298+F1298))</x:f>
        <x:v>670</x:v>
      </x:c>
      <x:c r="H1298" s="73" t="n">
        <x:f>MOD(INT(G1298)-1,Control!$B$7)+1</x:f>
        <x:v>134</x:v>
      </x:c>
      <x:c r="I1298" s="73" t="n">
        <x:f>MIN(Control!$B$6,MAX(1,INT(MAX(0,G1298)/Control!$B$7)+1))</x:f>
        <x:v>5</x:v>
      </x:c>
      <x:c r="J1298" s="73" t="n">
        <x:f>INDEX(Drivers!$H$8:$H$13,B1298)</x:f>
        <x:v>1</x:v>
      </x:c>
      <x:c r="K1298" s="73" t="n">
        <x:f>IF(J1298=1,INDEX(TrackMap!$I$8:$I$141,H1298),INDEX(TrackMap!$L$8:$L$141,H1298))</x:f>
        <x:v>3117</x:v>
      </x:c>
      <x:c r="L1298" s="73" t="str">
        <x:f>INDEX(TrackMap!$F$8:$F$141,H1298)</x:f>
        <x:v>←</x:v>
      </x:c>
      <x:c r="M1298" s="87" t="n">
        <x:f>MAX(0,G1298/Control!$B$17)</x:f>
        <x:v>1</x:v>
      </x:c>
      <x:c r="N1298" s="73" t="n">
        <x:f>IF(N1292&gt;0,N1292,IF(G1298&gt;=Control!$B$17,A1298,0))</x:f>
        <x:v>194</x:v>
      </x:c>
      <x:c r="O1298" s="91" t="n">
        <x:f>IF(N1298&gt;0,Control!$B$17+Control!$B$8+1-N1298,G1298)-B1298/100000</x:f>
        <x:v>716.99999</x:v>
      </x:c>
      <x:c r="P1298" s="73" t="n">
        <x:f>COUNTIF($O$1298:$O$1303,"&gt;"&amp;O1298)+1</x:f>
        <x:v>1</x:v>
      </x:c>
      <x:c r="Q1298" s="83" t="n">
        <x:f>MAX($G$1298:$G$1303)-G1298</x:f>
        <x:v>0</x:v>
      </x:c>
      <x:c r="R1298" s="73" t="str">
        <x:f>INDEX(TrackMap!$B$8:$B$141,H1298)</x:f>
        <x:v>发车大直道</x:v>
      </x:c>
    </x:row>
    <x:row r="1299" ht="20" customHeight="1">
      <x:c r="A1299" s="73" t="n">
        <x:v>215</x:v>
      </x:c>
      <x:c r="B1299" s="73" t="n">
        <x:v>2</x:v>
      </x:c>
      <x:c r="C1299" s="73" t="str">
        <x:f>INDEX(Drivers!$B$8:$B$13,B1299)</x:f>
        <x:v>蓝电</x:v>
      </x:c>
      <x:c r="D1299" s="83" t="n">
        <x:f>G1293</x:f>
        <x:v>670</x:v>
      </x:c>
      <x:c r="E1299" s="83" t="str">
        <x:f>IF(A1299=0,"GRID",IF(D1299&gt;=Control!$B$17,"FINISHED",IF(AND(A1299&gt;=INDEX(Drivers!$G$8:$G$13,B1299),A1299&lt;INDEX(Drivers!$G$8:$G$13,B1299)+INDEX(Drivers!$J$8:$J$13,B1299)),"PIT",IF(MOD(A1299+INDEX(Drivers!$F$8:$F$13,B1299),Control!$B$11)&lt;Control!$B$13,"BOOST","RACE"))))</x:f>
        <x:v>FINISHED</x:v>
      </x:c>
      <x:c r="F1299" s="83" t="n">
        <x:f>IF(OR(E1299="GRID",E1299="FINISHED",E1299="PIT"),0,MAX(Control!$B$15,(INDEX(Drivers!$D$8:$D$13,B1299)+INDEX(Drivers!$E$8:$E$13,B1299)*SIN((A1299+INDEX(Drivers!$F$8:$F$13,B1299)+Control!$B$16)*Control!$B$14))*INDEX(TrackMap!$M$8:$M$141,MOD(INT(D1299)-1,Control!$B$7)+1)*IF(E1299="BOOST",Control!$B$12,1)))</x:f>
        <x:v>0</x:v>
      </x:c>
      <x:c r="G1299" s="83" t="n">
        <x:f>IF(A1299=0,D1299,MIN(Control!$B$17,D1299+F1299))</x:f>
        <x:v>670</x:v>
      </x:c>
      <x:c r="H1299" s="73" t="n">
        <x:f>MOD(INT(G1299)-1,Control!$B$7)+1</x:f>
        <x:v>134</x:v>
      </x:c>
      <x:c r="I1299" s="73" t="n">
        <x:f>MIN(Control!$B$6,MAX(1,INT(MAX(0,G1299)/Control!$B$7)+1))</x:f>
        <x:v>5</x:v>
      </x:c>
      <x:c r="J1299" s="73" t="n">
        <x:f>INDEX(Drivers!$H$8:$H$13,B1299)</x:f>
        <x:v>2</x:v>
      </x:c>
      <x:c r="K1299" s="73" t="n">
        <x:f>IF(J1299=1,INDEX(TrackMap!$I$8:$I$141,H1299),INDEX(TrackMap!$L$8:$L$141,H1299))</x:f>
        <x:v>3017</x:v>
      </x:c>
      <x:c r="L1299" s="73" t="str">
        <x:f>INDEX(TrackMap!$F$8:$F$141,H1299)</x:f>
        <x:v>←</x:v>
      </x:c>
      <x:c r="M1299" s="87" t="n">
        <x:f>MAX(0,G1299/Control!$B$17)</x:f>
        <x:v>1</x:v>
      </x:c>
      <x:c r="N1299" s="73" t="n">
        <x:f>IF(N1293&gt;0,N1293,IF(G1299&gt;=Control!$B$17,A1299,0))</x:f>
        <x:v>201</x:v>
      </x:c>
      <x:c r="O1299" s="91" t="n">
        <x:f>IF(N1299&gt;0,Control!$B$17+Control!$B$8+1-N1299,G1299)-B1299/100000</x:f>
        <x:v>709.99998</x:v>
      </x:c>
      <x:c r="P1299" s="73" t="n">
        <x:f>COUNTIF($O$1298:$O$1303,"&gt;"&amp;O1299)+1</x:f>
        <x:v>6</x:v>
      </x:c>
      <x:c r="Q1299" s="83" t="n">
        <x:f>MAX($G$1298:$G$1303)-G1299</x:f>
        <x:v>0</x:v>
      </x:c>
      <x:c r="R1299" s="73" t="str">
        <x:f>INDEX(TrackMap!$B$8:$B$141,H1299)</x:f>
        <x:v>发车大直道</x:v>
      </x:c>
    </x:row>
    <x:row r="1300" ht="20" customHeight="1">
      <x:c r="A1300" s="73" t="n">
        <x:v>215</x:v>
      </x:c>
      <x:c r="B1300" s="73" t="n">
        <x:v>3</x:v>
      </x:c>
      <x:c r="C1300" s="73" t="str">
        <x:f>INDEX(Drivers!$B$8:$B$13,B1300)</x:f>
        <x:v>金翼</x:v>
      </x:c>
      <x:c r="D1300" s="83" t="n">
        <x:f>G1294</x:f>
        <x:v>670</x:v>
      </x:c>
      <x:c r="E1300" s="83" t="str">
        <x:f>IF(A1300=0,"GRID",IF(D1300&gt;=Control!$B$17,"FINISHED",IF(AND(A1300&gt;=INDEX(Drivers!$G$8:$G$13,B1300),A1300&lt;INDEX(Drivers!$G$8:$G$13,B1300)+INDEX(Drivers!$J$8:$J$13,B1300)),"PIT",IF(MOD(A1300+INDEX(Drivers!$F$8:$F$13,B1300),Control!$B$11)&lt;Control!$B$13,"BOOST","RACE"))))</x:f>
        <x:v>FINISHED</x:v>
      </x:c>
      <x:c r="F1300" s="83" t="n">
        <x:f>IF(OR(E1300="GRID",E1300="FINISHED",E1300="PIT"),0,MAX(Control!$B$15,(INDEX(Drivers!$D$8:$D$13,B1300)+INDEX(Drivers!$E$8:$E$13,B1300)*SIN((A1300+INDEX(Drivers!$F$8:$F$13,B1300)+Control!$B$16)*Control!$B$14))*INDEX(TrackMap!$M$8:$M$141,MOD(INT(D1300)-1,Control!$B$7)+1)*IF(E1300="BOOST",Control!$B$12,1)))</x:f>
        <x:v>0</x:v>
      </x:c>
      <x:c r="G1300" s="83" t="n">
        <x:f>IF(A1300=0,D1300,MIN(Control!$B$17,D1300+F1300))</x:f>
        <x:v>670</x:v>
      </x:c>
      <x:c r="H1300" s="73" t="n">
        <x:f>MOD(INT(G1300)-1,Control!$B$7)+1</x:f>
        <x:v>134</x:v>
      </x:c>
      <x:c r="I1300" s="73" t="n">
        <x:f>MIN(Control!$B$6,MAX(1,INT(MAX(0,G1300)/Control!$B$7)+1))</x:f>
        <x:v>5</x:v>
      </x:c>
      <x:c r="J1300" s="73" t="n">
        <x:f>INDEX(Drivers!$H$8:$H$13,B1300)</x:f>
        <x:v>1</x:v>
      </x:c>
      <x:c r="K1300" s="73" t="n">
        <x:f>IF(J1300=1,INDEX(TrackMap!$I$8:$I$141,H1300),INDEX(TrackMap!$L$8:$L$141,H1300))</x:f>
        <x:v>3117</x:v>
      </x:c>
      <x:c r="L1300" s="73" t="str">
        <x:f>INDEX(TrackMap!$F$8:$F$141,H1300)</x:f>
        <x:v>←</x:v>
      </x:c>
      <x:c r="M1300" s="87" t="n">
        <x:f>MAX(0,G1300/Control!$B$17)</x:f>
        <x:v>1</x:v>
      </x:c>
      <x:c r="N1300" s="73" t="n">
        <x:f>IF(N1294&gt;0,N1294,IF(G1300&gt;=Control!$B$17,A1300,0))</x:f>
        <x:v>195</x:v>
      </x:c>
      <x:c r="O1300" s="91" t="n">
        <x:f>IF(N1300&gt;0,Control!$B$17+Control!$B$8+1-N1300,G1300)-B1300/100000</x:f>
        <x:v>715.99997</x:v>
      </x:c>
      <x:c r="P1300" s="73" t="n">
        <x:f>COUNTIF($O$1298:$O$1303,"&gt;"&amp;O1300)+1</x:f>
        <x:v>2</x:v>
      </x:c>
      <x:c r="Q1300" s="83" t="n">
        <x:f>MAX($G$1298:$G$1303)-G1300</x:f>
        <x:v>0</x:v>
      </x:c>
      <x:c r="R1300" s="73" t="str">
        <x:f>INDEX(TrackMap!$B$8:$B$141,H1300)</x:f>
        <x:v>发车大直道</x:v>
      </x:c>
    </x:row>
    <x:row r="1301" ht="20" customHeight="1">
      <x:c r="A1301" s="73" t="n">
        <x:v>215</x:v>
      </x:c>
      <x:c r="B1301" s="73" t="n">
        <x:v>4</x:v>
      </x:c>
      <x:c r="C1301" s="73" t="str">
        <x:f>INDEX(Drivers!$B$8:$B$13,B1301)</x:f>
        <x:v>紫影</x:v>
      </x:c>
      <x:c r="D1301" s="83" t="n">
        <x:f>G1295</x:f>
        <x:v>670</x:v>
      </x:c>
      <x:c r="E1301" s="83" t="str">
        <x:f>IF(A1301=0,"GRID",IF(D1301&gt;=Control!$B$17,"FINISHED",IF(AND(A1301&gt;=INDEX(Drivers!$G$8:$G$13,B1301),A1301&lt;INDEX(Drivers!$G$8:$G$13,B1301)+INDEX(Drivers!$J$8:$J$13,B1301)),"PIT",IF(MOD(A1301+INDEX(Drivers!$F$8:$F$13,B1301),Control!$B$11)&lt;Control!$B$13,"BOOST","RACE"))))</x:f>
        <x:v>FINISHED</x:v>
      </x:c>
      <x:c r="F1301" s="83" t="n">
        <x:f>IF(OR(E1301="GRID",E1301="FINISHED",E1301="PIT"),0,MAX(Control!$B$15,(INDEX(Drivers!$D$8:$D$13,B1301)+INDEX(Drivers!$E$8:$E$13,B1301)*SIN((A1301+INDEX(Drivers!$F$8:$F$13,B1301)+Control!$B$16)*Control!$B$14))*INDEX(TrackMap!$M$8:$M$141,MOD(INT(D1301)-1,Control!$B$7)+1)*IF(E1301="BOOST",Control!$B$12,1)))</x:f>
        <x:v>0</x:v>
      </x:c>
      <x:c r="G1301" s="83" t="n">
        <x:f>IF(A1301=0,D1301,MIN(Control!$B$17,D1301+F1301))</x:f>
        <x:v>670</x:v>
      </x:c>
      <x:c r="H1301" s="73" t="n">
        <x:f>MOD(INT(G1301)-1,Control!$B$7)+1</x:f>
        <x:v>134</x:v>
      </x:c>
      <x:c r="I1301" s="73" t="n">
        <x:f>MIN(Control!$B$6,MAX(1,INT(MAX(0,G1301)/Control!$B$7)+1))</x:f>
        <x:v>5</x:v>
      </x:c>
      <x:c r="J1301" s="73" t="n">
        <x:f>INDEX(Drivers!$H$8:$H$13,B1301)</x:f>
        <x:v>2</x:v>
      </x:c>
      <x:c r="K1301" s="73" t="n">
        <x:f>IF(J1301=1,INDEX(TrackMap!$I$8:$I$141,H1301),INDEX(TrackMap!$L$8:$L$141,H1301))</x:f>
        <x:v>3017</x:v>
      </x:c>
      <x:c r="L1301" s="73" t="str">
        <x:f>INDEX(TrackMap!$F$8:$F$141,H1301)</x:f>
        <x:v>←</x:v>
      </x:c>
      <x:c r="M1301" s="87" t="n">
        <x:f>MAX(0,G1301/Control!$B$17)</x:f>
        <x:v>1</x:v>
      </x:c>
      <x:c r="N1301" s="73" t="n">
        <x:f>IF(N1295&gt;0,N1295,IF(G1301&gt;=Control!$B$17,A1301,0))</x:f>
        <x:v>198</x:v>
      </x:c>
      <x:c r="O1301" s="91" t="n">
        <x:f>IF(N1301&gt;0,Control!$B$17+Control!$B$8+1-N1301,G1301)-B1301/100000</x:f>
        <x:v>712.99996</x:v>
      </x:c>
      <x:c r="P1301" s="73" t="n">
        <x:f>COUNTIF($O$1298:$O$1303,"&gt;"&amp;O1301)+1</x:f>
        <x:v>5</x:v>
      </x:c>
      <x:c r="Q1301" s="83" t="n">
        <x:f>MAX($G$1298:$G$1303)-G1301</x:f>
        <x:v>0</x:v>
      </x:c>
      <x:c r="R1301" s="73" t="str">
        <x:f>INDEX(TrackMap!$B$8:$B$141,H1301)</x:f>
        <x:v>发车大直道</x:v>
      </x:c>
    </x:row>
    <x:row r="1302" ht="20" customHeight="1">
      <x:c r="A1302" s="73" t="n">
        <x:v>215</x:v>
      </x:c>
      <x:c r="B1302" s="73" t="n">
        <x:v>5</x:v>
      </x:c>
      <x:c r="C1302" s="73" t="str">
        <x:f>INDEX(Drivers!$B$8:$B$13,B1302)</x:f>
        <x:v>青锋</x:v>
      </x:c>
      <x:c r="D1302" s="83" t="n">
        <x:f>G1296</x:f>
        <x:v>670</x:v>
      </x:c>
      <x:c r="E1302" s="83" t="str">
        <x:f>IF(A1302=0,"GRID",IF(D1302&gt;=Control!$B$17,"FINISHED",IF(AND(A1302&gt;=INDEX(Drivers!$G$8:$G$13,B1302),A1302&lt;INDEX(Drivers!$G$8:$G$13,B1302)+INDEX(Drivers!$J$8:$J$13,B1302)),"PIT",IF(MOD(A1302+INDEX(Drivers!$F$8:$F$13,B1302),Control!$B$11)&lt;Control!$B$13,"BOOST","RACE"))))</x:f>
        <x:v>FINISHED</x:v>
      </x:c>
      <x:c r="F1302" s="83" t="n">
        <x:f>IF(OR(E1302="GRID",E1302="FINISHED",E1302="PIT"),0,MAX(Control!$B$15,(INDEX(Drivers!$D$8:$D$13,B1302)+INDEX(Drivers!$E$8:$E$13,B1302)*SIN((A1302+INDEX(Drivers!$F$8:$F$13,B1302)+Control!$B$16)*Control!$B$14))*INDEX(TrackMap!$M$8:$M$141,MOD(INT(D1302)-1,Control!$B$7)+1)*IF(E1302="BOOST",Control!$B$12,1)))</x:f>
        <x:v>0</x:v>
      </x:c>
      <x:c r="G1302" s="83" t="n">
        <x:f>IF(A1302=0,D1302,MIN(Control!$B$17,D1302+F1302))</x:f>
        <x:v>670</x:v>
      </x:c>
      <x:c r="H1302" s="73" t="n">
        <x:f>MOD(INT(G1302)-1,Control!$B$7)+1</x:f>
        <x:v>134</x:v>
      </x:c>
      <x:c r="I1302" s="73" t="n">
        <x:f>MIN(Control!$B$6,MAX(1,INT(MAX(0,G1302)/Control!$B$7)+1))</x:f>
        <x:v>5</x:v>
      </x:c>
      <x:c r="J1302" s="73" t="n">
        <x:f>INDEX(Drivers!$H$8:$H$13,B1302)</x:f>
        <x:v>1</x:v>
      </x:c>
      <x:c r="K1302" s="73" t="n">
        <x:f>IF(J1302=1,INDEX(TrackMap!$I$8:$I$141,H1302),INDEX(TrackMap!$L$8:$L$141,H1302))</x:f>
        <x:v>3117</x:v>
      </x:c>
      <x:c r="L1302" s="73" t="str">
        <x:f>INDEX(TrackMap!$F$8:$F$141,H1302)</x:f>
        <x:v>←</x:v>
      </x:c>
      <x:c r="M1302" s="87" t="n">
        <x:f>MAX(0,G1302/Control!$B$17)</x:f>
        <x:v>1</x:v>
      </x:c>
      <x:c r="N1302" s="73" t="n">
        <x:f>IF(N1296&gt;0,N1296,IF(G1302&gt;=Control!$B$17,A1302,0))</x:f>
        <x:v>195</x:v>
      </x:c>
      <x:c r="O1302" s="91" t="n">
        <x:f>IF(N1302&gt;0,Control!$B$17+Control!$B$8+1-N1302,G1302)-B1302/100000</x:f>
        <x:v>715.99995</x:v>
      </x:c>
      <x:c r="P1302" s="73" t="n">
        <x:f>COUNTIF($O$1298:$O$1303,"&gt;"&amp;O1302)+1</x:f>
        <x:v>3</x:v>
      </x:c>
      <x:c r="Q1302" s="83" t="n">
        <x:f>MAX($G$1298:$G$1303)-G1302</x:f>
        <x:v>0</x:v>
      </x:c>
      <x:c r="R1302" s="73" t="str">
        <x:f>INDEX(TrackMap!$B$8:$B$141,H1302)</x:f>
        <x:v>发车大直道</x:v>
      </x:c>
    </x:row>
    <x:row r="1303" ht="20" customHeight="1">
      <x:c r="A1303" s="73" t="n">
        <x:v>215</x:v>
      </x:c>
      <x:c r="B1303" s="73" t="n">
        <x:v>6</x:v>
      </x:c>
      <x:c r="C1303" s="73" t="str">
        <x:f>INDEX(Drivers!$B$8:$B$13,B1303)</x:f>
        <x:v>玫速</x:v>
      </x:c>
      <x:c r="D1303" s="83" t="n">
        <x:f>G1297</x:f>
        <x:v>670</x:v>
      </x:c>
      <x:c r="E1303" s="83" t="str">
        <x:f>IF(A1303=0,"GRID",IF(D1303&gt;=Control!$B$17,"FINISHED",IF(AND(A1303&gt;=INDEX(Drivers!$G$8:$G$13,B1303),A1303&lt;INDEX(Drivers!$G$8:$G$13,B1303)+INDEX(Drivers!$J$8:$J$13,B1303)),"PIT",IF(MOD(A1303+INDEX(Drivers!$F$8:$F$13,B1303),Control!$B$11)&lt;Control!$B$13,"BOOST","RACE"))))</x:f>
        <x:v>FINISHED</x:v>
      </x:c>
      <x:c r="F1303" s="83" t="n">
        <x:f>IF(OR(E1303="GRID",E1303="FINISHED",E1303="PIT"),0,MAX(Control!$B$15,(INDEX(Drivers!$D$8:$D$13,B1303)+INDEX(Drivers!$E$8:$E$13,B1303)*SIN((A1303+INDEX(Drivers!$F$8:$F$13,B1303)+Control!$B$16)*Control!$B$14))*INDEX(TrackMap!$M$8:$M$141,MOD(INT(D1303)-1,Control!$B$7)+1)*IF(E1303="BOOST",Control!$B$12,1)))</x:f>
        <x:v>0</x:v>
      </x:c>
      <x:c r="G1303" s="83" t="n">
        <x:f>IF(A1303=0,D1303,MIN(Control!$B$17,D1303+F1303))</x:f>
        <x:v>670</x:v>
      </x:c>
      <x:c r="H1303" s="73" t="n">
        <x:f>MOD(INT(G1303)-1,Control!$B$7)+1</x:f>
        <x:v>134</x:v>
      </x:c>
      <x:c r="I1303" s="73" t="n">
        <x:f>MIN(Control!$B$6,MAX(1,INT(MAX(0,G1303)/Control!$B$7)+1))</x:f>
        <x:v>5</x:v>
      </x:c>
      <x:c r="J1303" s="73" t="n">
        <x:f>INDEX(Drivers!$H$8:$H$13,B1303)</x:f>
        <x:v>2</x:v>
      </x:c>
      <x:c r="K1303" s="73" t="n">
        <x:f>IF(J1303=1,INDEX(TrackMap!$I$8:$I$141,H1303),INDEX(TrackMap!$L$8:$L$141,H1303))</x:f>
        <x:v>3017</x:v>
      </x:c>
      <x:c r="L1303" s="73" t="str">
        <x:f>INDEX(TrackMap!$F$8:$F$141,H1303)</x:f>
        <x:v>←</x:v>
      </x:c>
      <x:c r="M1303" s="87" t="n">
        <x:f>MAX(0,G1303/Control!$B$17)</x:f>
        <x:v>1</x:v>
      </x:c>
      <x:c r="N1303" s="73" t="n">
        <x:f>IF(N1297&gt;0,N1297,IF(G1303&gt;=Control!$B$17,A1303,0))</x:f>
        <x:v>196</x:v>
      </x:c>
      <x:c r="O1303" s="91" t="n">
        <x:f>IF(N1303&gt;0,Control!$B$17+Control!$B$8+1-N1303,G1303)-B1303/100000</x:f>
        <x:v>714.99994</x:v>
      </x:c>
      <x:c r="P1303" s="73" t="n">
        <x:f>COUNTIF($O$1298:$O$1303,"&gt;"&amp;O1303)+1</x:f>
        <x:v>4</x:v>
      </x:c>
      <x:c r="Q1303" s="83" t="n">
        <x:f>MAX($G$1298:$G$1303)-G1303</x:f>
        <x:v>0</x:v>
      </x:c>
      <x:c r="R1303" s="73" t="str">
        <x:f>INDEX(TrackMap!$B$8:$B$141,H1303)</x:f>
        <x:v>发车大直道</x:v>
      </x:c>
    </x:row>
    <x:row r="1304" ht="20" customHeight="1">
      <x:c r="A1304" s="73" t="n">
        <x:v>216</x:v>
      </x:c>
      <x:c r="B1304" s="73" t="n">
        <x:v>1</x:v>
      </x:c>
      <x:c r="C1304" s="73" t="str">
        <x:f>INDEX(Drivers!$B$8:$B$13,B1304)</x:f>
        <x:v>赤焰</x:v>
      </x:c>
      <x:c r="D1304" s="83" t="n">
        <x:f>G1298</x:f>
        <x:v>670</x:v>
      </x:c>
      <x:c r="E1304" s="83" t="str">
        <x:f>IF(A1304=0,"GRID",IF(D1304&gt;=Control!$B$17,"FINISHED",IF(AND(A1304&gt;=INDEX(Drivers!$G$8:$G$13,B1304),A1304&lt;INDEX(Drivers!$G$8:$G$13,B1304)+INDEX(Drivers!$J$8:$J$13,B1304)),"PIT",IF(MOD(A1304+INDEX(Drivers!$F$8:$F$13,B1304),Control!$B$11)&lt;Control!$B$13,"BOOST","RACE"))))</x:f>
        <x:v>FINISHED</x:v>
      </x:c>
      <x:c r="F1304" s="83" t="n">
        <x:f>IF(OR(E1304="GRID",E1304="FINISHED",E1304="PIT"),0,MAX(Control!$B$15,(INDEX(Drivers!$D$8:$D$13,B1304)+INDEX(Drivers!$E$8:$E$13,B1304)*SIN((A1304+INDEX(Drivers!$F$8:$F$13,B1304)+Control!$B$16)*Control!$B$14))*INDEX(TrackMap!$M$8:$M$141,MOD(INT(D1304)-1,Control!$B$7)+1)*IF(E1304="BOOST",Control!$B$12,1)))</x:f>
        <x:v>0</x:v>
      </x:c>
      <x:c r="G1304" s="83" t="n">
        <x:f>IF(A1304=0,D1304,MIN(Control!$B$17,D1304+F1304))</x:f>
        <x:v>670</x:v>
      </x:c>
      <x:c r="H1304" s="73" t="n">
        <x:f>MOD(INT(G1304)-1,Control!$B$7)+1</x:f>
        <x:v>134</x:v>
      </x:c>
      <x:c r="I1304" s="73" t="n">
        <x:f>MIN(Control!$B$6,MAX(1,INT(MAX(0,G1304)/Control!$B$7)+1))</x:f>
        <x:v>5</x:v>
      </x:c>
      <x:c r="J1304" s="73" t="n">
        <x:f>INDEX(Drivers!$H$8:$H$13,B1304)</x:f>
        <x:v>1</x:v>
      </x:c>
      <x:c r="K1304" s="73" t="n">
        <x:f>IF(J1304=1,INDEX(TrackMap!$I$8:$I$141,H1304),INDEX(TrackMap!$L$8:$L$141,H1304))</x:f>
        <x:v>3117</x:v>
      </x:c>
      <x:c r="L1304" s="73" t="str">
        <x:f>INDEX(TrackMap!$F$8:$F$141,H1304)</x:f>
        <x:v>←</x:v>
      </x:c>
      <x:c r="M1304" s="87" t="n">
        <x:f>MAX(0,G1304/Control!$B$17)</x:f>
        <x:v>1</x:v>
      </x:c>
      <x:c r="N1304" s="73" t="n">
        <x:f>IF(N1298&gt;0,N1298,IF(G1304&gt;=Control!$B$17,A1304,0))</x:f>
        <x:v>194</x:v>
      </x:c>
      <x:c r="O1304" s="91" t="n">
        <x:f>IF(N1304&gt;0,Control!$B$17+Control!$B$8+1-N1304,G1304)-B1304/100000</x:f>
        <x:v>716.99999</x:v>
      </x:c>
      <x:c r="P1304" s="73" t="n">
        <x:f>COUNTIF($O$1304:$O$1309,"&gt;"&amp;O1304)+1</x:f>
        <x:v>1</x:v>
      </x:c>
      <x:c r="Q1304" s="83" t="n">
        <x:f>MAX($G$1304:$G$1309)-G1304</x:f>
        <x:v>0</x:v>
      </x:c>
      <x:c r="R1304" s="73" t="str">
        <x:f>INDEX(TrackMap!$B$8:$B$141,H1304)</x:f>
        <x:v>发车大直道</x:v>
      </x:c>
    </x:row>
    <x:row r="1305" ht="20" customHeight="1">
      <x:c r="A1305" s="73" t="n">
        <x:v>216</x:v>
      </x:c>
      <x:c r="B1305" s="73" t="n">
        <x:v>2</x:v>
      </x:c>
      <x:c r="C1305" s="73" t="str">
        <x:f>INDEX(Drivers!$B$8:$B$13,B1305)</x:f>
        <x:v>蓝电</x:v>
      </x:c>
      <x:c r="D1305" s="83" t="n">
        <x:f>G1299</x:f>
        <x:v>670</x:v>
      </x:c>
      <x:c r="E1305" s="83" t="str">
        <x:f>IF(A1305=0,"GRID",IF(D1305&gt;=Control!$B$17,"FINISHED",IF(AND(A1305&gt;=INDEX(Drivers!$G$8:$G$13,B1305),A1305&lt;INDEX(Drivers!$G$8:$G$13,B1305)+INDEX(Drivers!$J$8:$J$13,B1305)),"PIT",IF(MOD(A1305+INDEX(Drivers!$F$8:$F$13,B1305),Control!$B$11)&lt;Control!$B$13,"BOOST","RACE"))))</x:f>
        <x:v>FINISHED</x:v>
      </x:c>
      <x:c r="F1305" s="83" t="n">
        <x:f>IF(OR(E1305="GRID",E1305="FINISHED",E1305="PIT"),0,MAX(Control!$B$15,(INDEX(Drivers!$D$8:$D$13,B1305)+INDEX(Drivers!$E$8:$E$13,B1305)*SIN((A1305+INDEX(Drivers!$F$8:$F$13,B1305)+Control!$B$16)*Control!$B$14))*INDEX(TrackMap!$M$8:$M$141,MOD(INT(D1305)-1,Control!$B$7)+1)*IF(E1305="BOOST",Control!$B$12,1)))</x:f>
        <x:v>0</x:v>
      </x:c>
      <x:c r="G1305" s="83" t="n">
        <x:f>IF(A1305=0,D1305,MIN(Control!$B$17,D1305+F1305))</x:f>
        <x:v>670</x:v>
      </x:c>
      <x:c r="H1305" s="73" t="n">
        <x:f>MOD(INT(G1305)-1,Control!$B$7)+1</x:f>
        <x:v>134</x:v>
      </x:c>
      <x:c r="I1305" s="73" t="n">
        <x:f>MIN(Control!$B$6,MAX(1,INT(MAX(0,G1305)/Control!$B$7)+1))</x:f>
        <x:v>5</x:v>
      </x:c>
      <x:c r="J1305" s="73" t="n">
        <x:f>INDEX(Drivers!$H$8:$H$13,B1305)</x:f>
        <x:v>2</x:v>
      </x:c>
      <x:c r="K1305" s="73" t="n">
        <x:f>IF(J1305=1,INDEX(TrackMap!$I$8:$I$141,H1305),INDEX(TrackMap!$L$8:$L$141,H1305))</x:f>
        <x:v>3017</x:v>
      </x:c>
      <x:c r="L1305" s="73" t="str">
        <x:f>INDEX(TrackMap!$F$8:$F$141,H1305)</x:f>
        <x:v>←</x:v>
      </x:c>
      <x:c r="M1305" s="87" t="n">
        <x:f>MAX(0,G1305/Control!$B$17)</x:f>
        <x:v>1</x:v>
      </x:c>
      <x:c r="N1305" s="73" t="n">
        <x:f>IF(N1299&gt;0,N1299,IF(G1305&gt;=Control!$B$17,A1305,0))</x:f>
        <x:v>201</x:v>
      </x:c>
      <x:c r="O1305" s="91" t="n">
        <x:f>IF(N1305&gt;0,Control!$B$17+Control!$B$8+1-N1305,G1305)-B1305/100000</x:f>
        <x:v>709.99998</x:v>
      </x:c>
      <x:c r="P1305" s="73" t="n">
        <x:f>COUNTIF($O$1304:$O$1309,"&gt;"&amp;O1305)+1</x:f>
        <x:v>6</x:v>
      </x:c>
      <x:c r="Q1305" s="83" t="n">
        <x:f>MAX($G$1304:$G$1309)-G1305</x:f>
        <x:v>0</x:v>
      </x:c>
      <x:c r="R1305" s="73" t="str">
        <x:f>INDEX(TrackMap!$B$8:$B$141,H1305)</x:f>
        <x:v>发车大直道</x:v>
      </x:c>
    </x:row>
    <x:row r="1306" ht="20" customHeight="1">
      <x:c r="A1306" s="73" t="n">
        <x:v>216</x:v>
      </x:c>
      <x:c r="B1306" s="73" t="n">
        <x:v>3</x:v>
      </x:c>
      <x:c r="C1306" s="73" t="str">
        <x:f>INDEX(Drivers!$B$8:$B$13,B1306)</x:f>
        <x:v>金翼</x:v>
      </x:c>
      <x:c r="D1306" s="83" t="n">
        <x:f>G1300</x:f>
        <x:v>670</x:v>
      </x:c>
      <x:c r="E1306" s="83" t="str">
        <x:f>IF(A1306=0,"GRID",IF(D1306&gt;=Control!$B$17,"FINISHED",IF(AND(A1306&gt;=INDEX(Drivers!$G$8:$G$13,B1306),A1306&lt;INDEX(Drivers!$G$8:$G$13,B1306)+INDEX(Drivers!$J$8:$J$13,B1306)),"PIT",IF(MOD(A1306+INDEX(Drivers!$F$8:$F$13,B1306),Control!$B$11)&lt;Control!$B$13,"BOOST","RACE"))))</x:f>
        <x:v>FINISHED</x:v>
      </x:c>
      <x:c r="F1306" s="83" t="n">
        <x:f>IF(OR(E1306="GRID",E1306="FINISHED",E1306="PIT"),0,MAX(Control!$B$15,(INDEX(Drivers!$D$8:$D$13,B1306)+INDEX(Drivers!$E$8:$E$13,B1306)*SIN((A1306+INDEX(Drivers!$F$8:$F$13,B1306)+Control!$B$16)*Control!$B$14))*INDEX(TrackMap!$M$8:$M$141,MOD(INT(D1306)-1,Control!$B$7)+1)*IF(E1306="BOOST",Control!$B$12,1)))</x:f>
        <x:v>0</x:v>
      </x:c>
      <x:c r="G1306" s="83" t="n">
        <x:f>IF(A1306=0,D1306,MIN(Control!$B$17,D1306+F1306))</x:f>
        <x:v>670</x:v>
      </x:c>
      <x:c r="H1306" s="73" t="n">
        <x:f>MOD(INT(G1306)-1,Control!$B$7)+1</x:f>
        <x:v>134</x:v>
      </x:c>
      <x:c r="I1306" s="73" t="n">
        <x:f>MIN(Control!$B$6,MAX(1,INT(MAX(0,G1306)/Control!$B$7)+1))</x:f>
        <x:v>5</x:v>
      </x:c>
      <x:c r="J1306" s="73" t="n">
        <x:f>INDEX(Drivers!$H$8:$H$13,B1306)</x:f>
        <x:v>1</x:v>
      </x:c>
      <x:c r="K1306" s="73" t="n">
        <x:f>IF(J1306=1,INDEX(TrackMap!$I$8:$I$141,H1306),INDEX(TrackMap!$L$8:$L$141,H1306))</x:f>
        <x:v>3117</x:v>
      </x:c>
      <x:c r="L1306" s="73" t="str">
        <x:f>INDEX(TrackMap!$F$8:$F$141,H1306)</x:f>
        <x:v>←</x:v>
      </x:c>
      <x:c r="M1306" s="87" t="n">
        <x:f>MAX(0,G1306/Control!$B$17)</x:f>
        <x:v>1</x:v>
      </x:c>
      <x:c r="N1306" s="73" t="n">
        <x:f>IF(N1300&gt;0,N1300,IF(G1306&gt;=Control!$B$17,A1306,0))</x:f>
        <x:v>195</x:v>
      </x:c>
      <x:c r="O1306" s="91" t="n">
        <x:f>IF(N1306&gt;0,Control!$B$17+Control!$B$8+1-N1306,G1306)-B1306/100000</x:f>
        <x:v>715.99997</x:v>
      </x:c>
      <x:c r="P1306" s="73" t="n">
        <x:f>COUNTIF($O$1304:$O$1309,"&gt;"&amp;O1306)+1</x:f>
        <x:v>2</x:v>
      </x:c>
      <x:c r="Q1306" s="83" t="n">
        <x:f>MAX($G$1304:$G$1309)-G1306</x:f>
        <x:v>0</x:v>
      </x:c>
      <x:c r="R1306" s="73" t="str">
        <x:f>INDEX(TrackMap!$B$8:$B$141,H1306)</x:f>
        <x:v>发车大直道</x:v>
      </x:c>
    </x:row>
    <x:row r="1307" ht="20" customHeight="1">
      <x:c r="A1307" s="73" t="n">
        <x:v>216</x:v>
      </x:c>
      <x:c r="B1307" s="73" t="n">
        <x:v>4</x:v>
      </x:c>
      <x:c r="C1307" s="73" t="str">
        <x:f>INDEX(Drivers!$B$8:$B$13,B1307)</x:f>
        <x:v>紫影</x:v>
      </x:c>
      <x:c r="D1307" s="83" t="n">
        <x:f>G1301</x:f>
        <x:v>670</x:v>
      </x:c>
      <x:c r="E1307" s="83" t="str">
        <x:f>IF(A1307=0,"GRID",IF(D1307&gt;=Control!$B$17,"FINISHED",IF(AND(A1307&gt;=INDEX(Drivers!$G$8:$G$13,B1307),A1307&lt;INDEX(Drivers!$G$8:$G$13,B1307)+INDEX(Drivers!$J$8:$J$13,B1307)),"PIT",IF(MOD(A1307+INDEX(Drivers!$F$8:$F$13,B1307),Control!$B$11)&lt;Control!$B$13,"BOOST","RACE"))))</x:f>
        <x:v>FINISHED</x:v>
      </x:c>
      <x:c r="F1307" s="83" t="n">
        <x:f>IF(OR(E1307="GRID",E1307="FINISHED",E1307="PIT"),0,MAX(Control!$B$15,(INDEX(Drivers!$D$8:$D$13,B1307)+INDEX(Drivers!$E$8:$E$13,B1307)*SIN((A1307+INDEX(Drivers!$F$8:$F$13,B1307)+Control!$B$16)*Control!$B$14))*INDEX(TrackMap!$M$8:$M$141,MOD(INT(D1307)-1,Control!$B$7)+1)*IF(E1307="BOOST",Control!$B$12,1)))</x:f>
        <x:v>0</x:v>
      </x:c>
      <x:c r="G1307" s="83" t="n">
        <x:f>IF(A1307=0,D1307,MIN(Control!$B$17,D1307+F1307))</x:f>
        <x:v>670</x:v>
      </x:c>
      <x:c r="H1307" s="73" t="n">
        <x:f>MOD(INT(G1307)-1,Control!$B$7)+1</x:f>
        <x:v>134</x:v>
      </x:c>
      <x:c r="I1307" s="73" t="n">
        <x:f>MIN(Control!$B$6,MAX(1,INT(MAX(0,G1307)/Control!$B$7)+1))</x:f>
        <x:v>5</x:v>
      </x:c>
      <x:c r="J1307" s="73" t="n">
        <x:f>INDEX(Drivers!$H$8:$H$13,B1307)</x:f>
        <x:v>2</x:v>
      </x:c>
      <x:c r="K1307" s="73" t="n">
        <x:f>IF(J1307=1,INDEX(TrackMap!$I$8:$I$141,H1307),INDEX(TrackMap!$L$8:$L$141,H1307))</x:f>
        <x:v>3017</x:v>
      </x:c>
      <x:c r="L1307" s="73" t="str">
        <x:f>INDEX(TrackMap!$F$8:$F$141,H1307)</x:f>
        <x:v>←</x:v>
      </x:c>
      <x:c r="M1307" s="87" t="n">
        <x:f>MAX(0,G1307/Control!$B$17)</x:f>
        <x:v>1</x:v>
      </x:c>
      <x:c r="N1307" s="73" t="n">
        <x:f>IF(N1301&gt;0,N1301,IF(G1307&gt;=Control!$B$17,A1307,0))</x:f>
        <x:v>198</x:v>
      </x:c>
      <x:c r="O1307" s="91" t="n">
        <x:f>IF(N1307&gt;0,Control!$B$17+Control!$B$8+1-N1307,G1307)-B1307/100000</x:f>
        <x:v>712.99996</x:v>
      </x:c>
      <x:c r="P1307" s="73" t="n">
        <x:f>COUNTIF($O$1304:$O$1309,"&gt;"&amp;O1307)+1</x:f>
        <x:v>5</x:v>
      </x:c>
      <x:c r="Q1307" s="83" t="n">
        <x:f>MAX($G$1304:$G$1309)-G1307</x:f>
        <x:v>0</x:v>
      </x:c>
      <x:c r="R1307" s="73" t="str">
        <x:f>INDEX(TrackMap!$B$8:$B$141,H1307)</x:f>
        <x:v>发车大直道</x:v>
      </x:c>
    </x:row>
    <x:row r="1308" ht="20" customHeight="1">
      <x:c r="A1308" s="73" t="n">
        <x:v>216</x:v>
      </x:c>
      <x:c r="B1308" s="73" t="n">
        <x:v>5</x:v>
      </x:c>
      <x:c r="C1308" s="73" t="str">
        <x:f>INDEX(Drivers!$B$8:$B$13,B1308)</x:f>
        <x:v>青锋</x:v>
      </x:c>
      <x:c r="D1308" s="83" t="n">
        <x:f>G1302</x:f>
        <x:v>670</x:v>
      </x:c>
      <x:c r="E1308" s="83" t="str">
        <x:f>IF(A1308=0,"GRID",IF(D1308&gt;=Control!$B$17,"FINISHED",IF(AND(A1308&gt;=INDEX(Drivers!$G$8:$G$13,B1308),A1308&lt;INDEX(Drivers!$G$8:$G$13,B1308)+INDEX(Drivers!$J$8:$J$13,B1308)),"PIT",IF(MOD(A1308+INDEX(Drivers!$F$8:$F$13,B1308),Control!$B$11)&lt;Control!$B$13,"BOOST","RACE"))))</x:f>
        <x:v>FINISHED</x:v>
      </x:c>
      <x:c r="F1308" s="83" t="n">
        <x:f>IF(OR(E1308="GRID",E1308="FINISHED",E1308="PIT"),0,MAX(Control!$B$15,(INDEX(Drivers!$D$8:$D$13,B1308)+INDEX(Drivers!$E$8:$E$13,B1308)*SIN((A1308+INDEX(Drivers!$F$8:$F$13,B1308)+Control!$B$16)*Control!$B$14))*INDEX(TrackMap!$M$8:$M$141,MOD(INT(D1308)-1,Control!$B$7)+1)*IF(E1308="BOOST",Control!$B$12,1)))</x:f>
        <x:v>0</x:v>
      </x:c>
      <x:c r="G1308" s="83" t="n">
        <x:f>IF(A1308=0,D1308,MIN(Control!$B$17,D1308+F1308))</x:f>
        <x:v>670</x:v>
      </x:c>
      <x:c r="H1308" s="73" t="n">
        <x:f>MOD(INT(G1308)-1,Control!$B$7)+1</x:f>
        <x:v>134</x:v>
      </x:c>
      <x:c r="I1308" s="73" t="n">
        <x:f>MIN(Control!$B$6,MAX(1,INT(MAX(0,G1308)/Control!$B$7)+1))</x:f>
        <x:v>5</x:v>
      </x:c>
      <x:c r="J1308" s="73" t="n">
        <x:f>INDEX(Drivers!$H$8:$H$13,B1308)</x:f>
        <x:v>1</x:v>
      </x:c>
      <x:c r="K1308" s="73" t="n">
        <x:f>IF(J1308=1,INDEX(TrackMap!$I$8:$I$141,H1308),INDEX(TrackMap!$L$8:$L$141,H1308))</x:f>
        <x:v>3117</x:v>
      </x:c>
      <x:c r="L1308" s="73" t="str">
        <x:f>INDEX(TrackMap!$F$8:$F$141,H1308)</x:f>
        <x:v>←</x:v>
      </x:c>
      <x:c r="M1308" s="87" t="n">
        <x:f>MAX(0,G1308/Control!$B$17)</x:f>
        <x:v>1</x:v>
      </x:c>
      <x:c r="N1308" s="73" t="n">
        <x:f>IF(N1302&gt;0,N1302,IF(G1308&gt;=Control!$B$17,A1308,0))</x:f>
        <x:v>195</x:v>
      </x:c>
      <x:c r="O1308" s="91" t="n">
        <x:f>IF(N1308&gt;0,Control!$B$17+Control!$B$8+1-N1308,G1308)-B1308/100000</x:f>
        <x:v>715.99995</x:v>
      </x:c>
      <x:c r="P1308" s="73" t="n">
        <x:f>COUNTIF($O$1304:$O$1309,"&gt;"&amp;O1308)+1</x:f>
        <x:v>3</x:v>
      </x:c>
      <x:c r="Q1308" s="83" t="n">
        <x:f>MAX($G$1304:$G$1309)-G1308</x:f>
        <x:v>0</x:v>
      </x:c>
      <x:c r="R1308" s="73" t="str">
        <x:f>INDEX(TrackMap!$B$8:$B$141,H1308)</x:f>
        <x:v>发车大直道</x:v>
      </x:c>
    </x:row>
    <x:row r="1309" ht="20" customHeight="1">
      <x:c r="A1309" s="73" t="n">
        <x:v>216</x:v>
      </x:c>
      <x:c r="B1309" s="73" t="n">
        <x:v>6</x:v>
      </x:c>
      <x:c r="C1309" s="73" t="str">
        <x:f>INDEX(Drivers!$B$8:$B$13,B1309)</x:f>
        <x:v>玫速</x:v>
      </x:c>
      <x:c r="D1309" s="83" t="n">
        <x:f>G1303</x:f>
        <x:v>670</x:v>
      </x:c>
      <x:c r="E1309" s="83" t="str">
        <x:f>IF(A1309=0,"GRID",IF(D1309&gt;=Control!$B$17,"FINISHED",IF(AND(A1309&gt;=INDEX(Drivers!$G$8:$G$13,B1309),A1309&lt;INDEX(Drivers!$G$8:$G$13,B1309)+INDEX(Drivers!$J$8:$J$13,B1309)),"PIT",IF(MOD(A1309+INDEX(Drivers!$F$8:$F$13,B1309),Control!$B$11)&lt;Control!$B$13,"BOOST","RACE"))))</x:f>
        <x:v>FINISHED</x:v>
      </x:c>
      <x:c r="F1309" s="83" t="n">
        <x:f>IF(OR(E1309="GRID",E1309="FINISHED",E1309="PIT"),0,MAX(Control!$B$15,(INDEX(Drivers!$D$8:$D$13,B1309)+INDEX(Drivers!$E$8:$E$13,B1309)*SIN((A1309+INDEX(Drivers!$F$8:$F$13,B1309)+Control!$B$16)*Control!$B$14))*INDEX(TrackMap!$M$8:$M$141,MOD(INT(D1309)-1,Control!$B$7)+1)*IF(E1309="BOOST",Control!$B$12,1)))</x:f>
        <x:v>0</x:v>
      </x:c>
      <x:c r="G1309" s="83" t="n">
        <x:f>IF(A1309=0,D1309,MIN(Control!$B$17,D1309+F1309))</x:f>
        <x:v>670</x:v>
      </x:c>
      <x:c r="H1309" s="73" t="n">
        <x:f>MOD(INT(G1309)-1,Control!$B$7)+1</x:f>
        <x:v>134</x:v>
      </x:c>
      <x:c r="I1309" s="73" t="n">
        <x:f>MIN(Control!$B$6,MAX(1,INT(MAX(0,G1309)/Control!$B$7)+1))</x:f>
        <x:v>5</x:v>
      </x:c>
      <x:c r="J1309" s="73" t="n">
        <x:f>INDEX(Drivers!$H$8:$H$13,B1309)</x:f>
        <x:v>2</x:v>
      </x:c>
      <x:c r="K1309" s="73" t="n">
        <x:f>IF(J1309=1,INDEX(TrackMap!$I$8:$I$141,H1309),INDEX(TrackMap!$L$8:$L$141,H1309))</x:f>
        <x:v>3017</x:v>
      </x:c>
      <x:c r="L1309" s="73" t="str">
        <x:f>INDEX(TrackMap!$F$8:$F$141,H1309)</x:f>
        <x:v>←</x:v>
      </x:c>
      <x:c r="M1309" s="87" t="n">
        <x:f>MAX(0,G1309/Control!$B$17)</x:f>
        <x:v>1</x:v>
      </x:c>
      <x:c r="N1309" s="73" t="n">
        <x:f>IF(N1303&gt;0,N1303,IF(G1309&gt;=Control!$B$17,A1309,0))</x:f>
        <x:v>196</x:v>
      </x:c>
      <x:c r="O1309" s="91" t="n">
        <x:f>IF(N1309&gt;0,Control!$B$17+Control!$B$8+1-N1309,G1309)-B1309/100000</x:f>
        <x:v>714.99994</x:v>
      </x:c>
      <x:c r="P1309" s="73" t="n">
        <x:f>COUNTIF($O$1304:$O$1309,"&gt;"&amp;O1309)+1</x:f>
        <x:v>4</x:v>
      </x:c>
      <x:c r="Q1309" s="83" t="n">
        <x:f>MAX($G$1304:$G$1309)-G1309</x:f>
        <x:v>0</x:v>
      </x:c>
      <x:c r="R1309" s="73" t="str">
        <x:f>INDEX(TrackMap!$B$8:$B$141,H1309)</x:f>
        <x:v>发车大直道</x:v>
      </x:c>
    </x:row>
    <x:row r="1310" ht="20" customHeight="1">
      <x:c r="A1310" s="73" t="n">
        <x:v>217</x:v>
      </x:c>
      <x:c r="B1310" s="73" t="n">
        <x:v>1</x:v>
      </x:c>
      <x:c r="C1310" s="73" t="str">
        <x:f>INDEX(Drivers!$B$8:$B$13,B1310)</x:f>
        <x:v>赤焰</x:v>
      </x:c>
      <x:c r="D1310" s="83" t="n">
        <x:f>G1304</x:f>
        <x:v>670</x:v>
      </x:c>
      <x:c r="E1310" s="83" t="str">
        <x:f>IF(A1310=0,"GRID",IF(D1310&gt;=Control!$B$17,"FINISHED",IF(AND(A1310&gt;=INDEX(Drivers!$G$8:$G$13,B1310),A1310&lt;INDEX(Drivers!$G$8:$G$13,B1310)+INDEX(Drivers!$J$8:$J$13,B1310)),"PIT",IF(MOD(A1310+INDEX(Drivers!$F$8:$F$13,B1310),Control!$B$11)&lt;Control!$B$13,"BOOST","RACE"))))</x:f>
        <x:v>FINISHED</x:v>
      </x:c>
      <x:c r="F1310" s="83" t="n">
        <x:f>IF(OR(E1310="GRID",E1310="FINISHED",E1310="PIT"),0,MAX(Control!$B$15,(INDEX(Drivers!$D$8:$D$13,B1310)+INDEX(Drivers!$E$8:$E$13,B1310)*SIN((A1310+INDEX(Drivers!$F$8:$F$13,B1310)+Control!$B$16)*Control!$B$14))*INDEX(TrackMap!$M$8:$M$141,MOD(INT(D1310)-1,Control!$B$7)+1)*IF(E1310="BOOST",Control!$B$12,1)))</x:f>
        <x:v>0</x:v>
      </x:c>
      <x:c r="G1310" s="83" t="n">
        <x:f>IF(A1310=0,D1310,MIN(Control!$B$17,D1310+F1310))</x:f>
        <x:v>670</x:v>
      </x:c>
      <x:c r="H1310" s="73" t="n">
        <x:f>MOD(INT(G1310)-1,Control!$B$7)+1</x:f>
        <x:v>134</x:v>
      </x:c>
      <x:c r="I1310" s="73" t="n">
        <x:f>MIN(Control!$B$6,MAX(1,INT(MAX(0,G1310)/Control!$B$7)+1))</x:f>
        <x:v>5</x:v>
      </x:c>
      <x:c r="J1310" s="73" t="n">
        <x:f>INDEX(Drivers!$H$8:$H$13,B1310)</x:f>
        <x:v>1</x:v>
      </x:c>
      <x:c r="K1310" s="73" t="n">
        <x:f>IF(J1310=1,INDEX(TrackMap!$I$8:$I$141,H1310),INDEX(TrackMap!$L$8:$L$141,H1310))</x:f>
        <x:v>3117</x:v>
      </x:c>
      <x:c r="L1310" s="73" t="str">
        <x:f>INDEX(TrackMap!$F$8:$F$141,H1310)</x:f>
        <x:v>←</x:v>
      </x:c>
      <x:c r="M1310" s="87" t="n">
        <x:f>MAX(0,G1310/Control!$B$17)</x:f>
        <x:v>1</x:v>
      </x:c>
      <x:c r="N1310" s="73" t="n">
        <x:f>IF(N1304&gt;0,N1304,IF(G1310&gt;=Control!$B$17,A1310,0))</x:f>
        <x:v>194</x:v>
      </x:c>
      <x:c r="O1310" s="91" t="n">
        <x:f>IF(N1310&gt;0,Control!$B$17+Control!$B$8+1-N1310,G1310)-B1310/100000</x:f>
        <x:v>716.99999</x:v>
      </x:c>
      <x:c r="P1310" s="73" t="n">
        <x:f>COUNTIF($O$1310:$O$1315,"&gt;"&amp;O1310)+1</x:f>
        <x:v>1</x:v>
      </x:c>
      <x:c r="Q1310" s="83" t="n">
        <x:f>MAX($G$1310:$G$1315)-G1310</x:f>
        <x:v>0</x:v>
      </x:c>
      <x:c r="R1310" s="73" t="str">
        <x:f>INDEX(TrackMap!$B$8:$B$141,H1310)</x:f>
        <x:v>发车大直道</x:v>
      </x:c>
    </x:row>
    <x:row r="1311" ht="20" customHeight="1">
      <x:c r="A1311" s="73" t="n">
        <x:v>217</x:v>
      </x:c>
      <x:c r="B1311" s="73" t="n">
        <x:v>2</x:v>
      </x:c>
      <x:c r="C1311" s="73" t="str">
        <x:f>INDEX(Drivers!$B$8:$B$13,B1311)</x:f>
        <x:v>蓝电</x:v>
      </x:c>
      <x:c r="D1311" s="83" t="n">
        <x:f>G1305</x:f>
        <x:v>670</x:v>
      </x:c>
      <x:c r="E1311" s="83" t="str">
        <x:f>IF(A1311=0,"GRID",IF(D1311&gt;=Control!$B$17,"FINISHED",IF(AND(A1311&gt;=INDEX(Drivers!$G$8:$G$13,B1311),A1311&lt;INDEX(Drivers!$G$8:$G$13,B1311)+INDEX(Drivers!$J$8:$J$13,B1311)),"PIT",IF(MOD(A1311+INDEX(Drivers!$F$8:$F$13,B1311),Control!$B$11)&lt;Control!$B$13,"BOOST","RACE"))))</x:f>
        <x:v>FINISHED</x:v>
      </x:c>
      <x:c r="F1311" s="83" t="n">
        <x:f>IF(OR(E1311="GRID",E1311="FINISHED",E1311="PIT"),0,MAX(Control!$B$15,(INDEX(Drivers!$D$8:$D$13,B1311)+INDEX(Drivers!$E$8:$E$13,B1311)*SIN((A1311+INDEX(Drivers!$F$8:$F$13,B1311)+Control!$B$16)*Control!$B$14))*INDEX(TrackMap!$M$8:$M$141,MOD(INT(D1311)-1,Control!$B$7)+1)*IF(E1311="BOOST",Control!$B$12,1)))</x:f>
        <x:v>0</x:v>
      </x:c>
      <x:c r="G1311" s="83" t="n">
        <x:f>IF(A1311=0,D1311,MIN(Control!$B$17,D1311+F1311))</x:f>
        <x:v>670</x:v>
      </x:c>
      <x:c r="H1311" s="73" t="n">
        <x:f>MOD(INT(G1311)-1,Control!$B$7)+1</x:f>
        <x:v>134</x:v>
      </x:c>
      <x:c r="I1311" s="73" t="n">
        <x:f>MIN(Control!$B$6,MAX(1,INT(MAX(0,G1311)/Control!$B$7)+1))</x:f>
        <x:v>5</x:v>
      </x:c>
      <x:c r="J1311" s="73" t="n">
        <x:f>INDEX(Drivers!$H$8:$H$13,B1311)</x:f>
        <x:v>2</x:v>
      </x:c>
      <x:c r="K1311" s="73" t="n">
        <x:f>IF(J1311=1,INDEX(TrackMap!$I$8:$I$141,H1311),INDEX(TrackMap!$L$8:$L$141,H1311))</x:f>
        <x:v>3017</x:v>
      </x:c>
      <x:c r="L1311" s="73" t="str">
        <x:f>INDEX(TrackMap!$F$8:$F$141,H1311)</x:f>
        <x:v>←</x:v>
      </x:c>
      <x:c r="M1311" s="87" t="n">
        <x:f>MAX(0,G1311/Control!$B$17)</x:f>
        <x:v>1</x:v>
      </x:c>
      <x:c r="N1311" s="73" t="n">
        <x:f>IF(N1305&gt;0,N1305,IF(G1311&gt;=Control!$B$17,A1311,0))</x:f>
        <x:v>201</x:v>
      </x:c>
      <x:c r="O1311" s="91" t="n">
        <x:f>IF(N1311&gt;0,Control!$B$17+Control!$B$8+1-N1311,G1311)-B1311/100000</x:f>
        <x:v>709.99998</x:v>
      </x:c>
      <x:c r="P1311" s="73" t="n">
        <x:f>COUNTIF($O$1310:$O$1315,"&gt;"&amp;O1311)+1</x:f>
        <x:v>6</x:v>
      </x:c>
      <x:c r="Q1311" s="83" t="n">
        <x:f>MAX($G$1310:$G$1315)-G1311</x:f>
        <x:v>0</x:v>
      </x:c>
      <x:c r="R1311" s="73" t="str">
        <x:f>INDEX(TrackMap!$B$8:$B$141,H1311)</x:f>
        <x:v>发车大直道</x:v>
      </x:c>
    </x:row>
    <x:row r="1312" ht="20" customHeight="1">
      <x:c r="A1312" s="73" t="n">
        <x:v>217</x:v>
      </x:c>
      <x:c r="B1312" s="73" t="n">
        <x:v>3</x:v>
      </x:c>
      <x:c r="C1312" s="73" t="str">
        <x:f>INDEX(Drivers!$B$8:$B$13,B1312)</x:f>
        <x:v>金翼</x:v>
      </x:c>
      <x:c r="D1312" s="83" t="n">
        <x:f>G1306</x:f>
        <x:v>670</x:v>
      </x:c>
      <x:c r="E1312" s="83" t="str">
        <x:f>IF(A1312=0,"GRID",IF(D1312&gt;=Control!$B$17,"FINISHED",IF(AND(A1312&gt;=INDEX(Drivers!$G$8:$G$13,B1312),A1312&lt;INDEX(Drivers!$G$8:$G$13,B1312)+INDEX(Drivers!$J$8:$J$13,B1312)),"PIT",IF(MOD(A1312+INDEX(Drivers!$F$8:$F$13,B1312),Control!$B$11)&lt;Control!$B$13,"BOOST","RACE"))))</x:f>
        <x:v>FINISHED</x:v>
      </x:c>
      <x:c r="F1312" s="83" t="n">
        <x:f>IF(OR(E1312="GRID",E1312="FINISHED",E1312="PIT"),0,MAX(Control!$B$15,(INDEX(Drivers!$D$8:$D$13,B1312)+INDEX(Drivers!$E$8:$E$13,B1312)*SIN((A1312+INDEX(Drivers!$F$8:$F$13,B1312)+Control!$B$16)*Control!$B$14))*INDEX(TrackMap!$M$8:$M$141,MOD(INT(D1312)-1,Control!$B$7)+1)*IF(E1312="BOOST",Control!$B$12,1)))</x:f>
        <x:v>0</x:v>
      </x:c>
      <x:c r="G1312" s="83" t="n">
        <x:f>IF(A1312=0,D1312,MIN(Control!$B$17,D1312+F1312))</x:f>
        <x:v>670</x:v>
      </x:c>
      <x:c r="H1312" s="73" t="n">
        <x:f>MOD(INT(G1312)-1,Control!$B$7)+1</x:f>
        <x:v>134</x:v>
      </x:c>
      <x:c r="I1312" s="73" t="n">
        <x:f>MIN(Control!$B$6,MAX(1,INT(MAX(0,G1312)/Control!$B$7)+1))</x:f>
        <x:v>5</x:v>
      </x:c>
      <x:c r="J1312" s="73" t="n">
        <x:f>INDEX(Drivers!$H$8:$H$13,B1312)</x:f>
        <x:v>1</x:v>
      </x:c>
      <x:c r="K1312" s="73" t="n">
        <x:f>IF(J1312=1,INDEX(TrackMap!$I$8:$I$141,H1312),INDEX(TrackMap!$L$8:$L$141,H1312))</x:f>
        <x:v>3117</x:v>
      </x:c>
      <x:c r="L1312" s="73" t="str">
        <x:f>INDEX(TrackMap!$F$8:$F$141,H1312)</x:f>
        <x:v>←</x:v>
      </x:c>
      <x:c r="M1312" s="87" t="n">
        <x:f>MAX(0,G1312/Control!$B$17)</x:f>
        <x:v>1</x:v>
      </x:c>
      <x:c r="N1312" s="73" t="n">
        <x:f>IF(N1306&gt;0,N1306,IF(G1312&gt;=Control!$B$17,A1312,0))</x:f>
        <x:v>195</x:v>
      </x:c>
      <x:c r="O1312" s="91" t="n">
        <x:f>IF(N1312&gt;0,Control!$B$17+Control!$B$8+1-N1312,G1312)-B1312/100000</x:f>
        <x:v>715.99997</x:v>
      </x:c>
      <x:c r="P1312" s="73" t="n">
        <x:f>COUNTIF($O$1310:$O$1315,"&gt;"&amp;O1312)+1</x:f>
        <x:v>2</x:v>
      </x:c>
      <x:c r="Q1312" s="83" t="n">
        <x:f>MAX($G$1310:$G$1315)-G1312</x:f>
        <x:v>0</x:v>
      </x:c>
      <x:c r="R1312" s="73" t="str">
        <x:f>INDEX(TrackMap!$B$8:$B$141,H1312)</x:f>
        <x:v>发车大直道</x:v>
      </x:c>
    </x:row>
    <x:row r="1313" ht="20" customHeight="1">
      <x:c r="A1313" s="73" t="n">
        <x:v>217</x:v>
      </x:c>
      <x:c r="B1313" s="73" t="n">
        <x:v>4</x:v>
      </x:c>
      <x:c r="C1313" s="73" t="str">
        <x:f>INDEX(Drivers!$B$8:$B$13,B1313)</x:f>
        <x:v>紫影</x:v>
      </x:c>
      <x:c r="D1313" s="83" t="n">
        <x:f>G1307</x:f>
        <x:v>670</x:v>
      </x:c>
      <x:c r="E1313" s="83" t="str">
        <x:f>IF(A1313=0,"GRID",IF(D1313&gt;=Control!$B$17,"FINISHED",IF(AND(A1313&gt;=INDEX(Drivers!$G$8:$G$13,B1313),A1313&lt;INDEX(Drivers!$G$8:$G$13,B1313)+INDEX(Drivers!$J$8:$J$13,B1313)),"PIT",IF(MOD(A1313+INDEX(Drivers!$F$8:$F$13,B1313),Control!$B$11)&lt;Control!$B$13,"BOOST","RACE"))))</x:f>
        <x:v>FINISHED</x:v>
      </x:c>
      <x:c r="F1313" s="83" t="n">
        <x:f>IF(OR(E1313="GRID",E1313="FINISHED",E1313="PIT"),0,MAX(Control!$B$15,(INDEX(Drivers!$D$8:$D$13,B1313)+INDEX(Drivers!$E$8:$E$13,B1313)*SIN((A1313+INDEX(Drivers!$F$8:$F$13,B1313)+Control!$B$16)*Control!$B$14))*INDEX(TrackMap!$M$8:$M$141,MOD(INT(D1313)-1,Control!$B$7)+1)*IF(E1313="BOOST",Control!$B$12,1)))</x:f>
        <x:v>0</x:v>
      </x:c>
      <x:c r="G1313" s="83" t="n">
        <x:f>IF(A1313=0,D1313,MIN(Control!$B$17,D1313+F1313))</x:f>
        <x:v>670</x:v>
      </x:c>
      <x:c r="H1313" s="73" t="n">
        <x:f>MOD(INT(G1313)-1,Control!$B$7)+1</x:f>
        <x:v>134</x:v>
      </x:c>
      <x:c r="I1313" s="73" t="n">
        <x:f>MIN(Control!$B$6,MAX(1,INT(MAX(0,G1313)/Control!$B$7)+1))</x:f>
        <x:v>5</x:v>
      </x:c>
      <x:c r="J1313" s="73" t="n">
        <x:f>INDEX(Drivers!$H$8:$H$13,B1313)</x:f>
        <x:v>2</x:v>
      </x:c>
      <x:c r="K1313" s="73" t="n">
        <x:f>IF(J1313=1,INDEX(TrackMap!$I$8:$I$141,H1313),INDEX(TrackMap!$L$8:$L$141,H1313))</x:f>
        <x:v>3017</x:v>
      </x:c>
      <x:c r="L1313" s="73" t="str">
        <x:f>INDEX(TrackMap!$F$8:$F$141,H1313)</x:f>
        <x:v>←</x:v>
      </x:c>
      <x:c r="M1313" s="87" t="n">
        <x:f>MAX(0,G1313/Control!$B$17)</x:f>
        <x:v>1</x:v>
      </x:c>
      <x:c r="N1313" s="73" t="n">
        <x:f>IF(N1307&gt;0,N1307,IF(G1313&gt;=Control!$B$17,A1313,0))</x:f>
        <x:v>198</x:v>
      </x:c>
      <x:c r="O1313" s="91" t="n">
        <x:f>IF(N1313&gt;0,Control!$B$17+Control!$B$8+1-N1313,G1313)-B1313/100000</x:f>
        <x:v>712.99996</x:v>
      </x:c>
      <x:c r="P1313" s="73" t="n">
        <x:f>COUNTIF($O$1310:$O$1315,"&gt;"&amp;O1313)+1</x:f>
        <x:v>5</x:v>
      </x:c>
      <x:c r="Q1313" s="83" t="n">
        <x:f>MAX($G$1310:$G$1315)-G1313</x:f>
        <x:v>0</x:v>
      </x:c>
      <x:c r="R1313" s="73" t="str">
        <x:f>INDEX(TrackMap!$B$8:$B$141,H1313)</x:f>
        <x:v>发车大直道</x:v>
      </x:c>
    </x:row>
    <x:row r="1314" ht="20" customHeight="1">
      <x:c r="A1314" s="73" t="n">
        <x:v>217</x:v>
      </x:c>
      <x:c r="B1314" s="73" t="n">
        <x:v>5</x:v>
      </x:c>
      <x:c r="C1314" s="73" t="str">
        <x:f>INDEX(Drivers!$B$8:$B$13,B1314)</x:f>
        <x:v>青锋</x:v>
      </x:c>
      <x:c r="D1314" s="83" t="n">
        <x:f>G1308</x:f>
        <x:v>670</x:v>
      </x:c>
      <x:c r="E1314" s="83" t="str">
        <x:f>IF(A1314=0,"GRID",IF(D1314&gt;=Control!$B$17,"FINISHED",IF(AND(A1314&gt;=INDEX(Drivers!$G$8:$G$13,B1314),A1314&lt;INDEX(Drivers!$G$8:$G$13,B1314)+INDEX(Drivers!$J$8:$J$13,B1314)),"PIT",IF(MOD(A1314+INDEX(Drivers!$F$8:$F$13,B1314),Control!$B$11)&lt;Control!$B$13,"BOOST","RACE"))))</x:f>
        <x:v>FINISHED</x:v>
      </x:c>
      <x:c r="F1314" s="83" t="n">
        <x:f>IF(OR(E1314="GRID",E1314="FINISHED",E1314="PIT"),0,MAX(Control!$B$15,(INDEX(Drivers!$D$8:$D$13,B1314)+INDEX(Drivers!$E$8:$E$13,B1314)*SIN((A1314+INDEX(Drivers!$F$8:$F$13,B1314)+Control!$B$16)*Control!$B$14))*INDEX(TrackMap!$M$8:$M$141,MOD(INT(D1314)-1,Control!$B$7)+1)*IF(E1314="BOOST",Control!$B$12,1)))</x:f>
        <x:v>0</x:v>
      </x:c>
      <x:c r="G1314" s="83" t="n">
        <x:f>IF(A1314=0,D1314,MIN(Control!$B$17,D1314+F1314))</x:f>
        <x:v>670</x:v>
      </x:c>
      <x:c r="H1314" s="73" t="n">
        <x:f>MOD(INT(G1314)-1,Control!$B$7)+1</x:f>
        <x:v>134</x:v>
      </x:c>
      <x:c r="I1314" s="73" t="n">
        <x:f>MIN(Control!$B$6,MAX(1,INT(MAX(0,G1314)/Control!$B$7)+1))</x:f>
        <x:v>5</x:v>
      </x:c>
      <x:c r="J1314" s="73" t="n">
        <x:f>INDEX(Drivers!$H$8:$H$13,B1314)</x:f>
        <x:v>1</x:v>
      </x:c>
      <x:c r="K1314" s="73" t="n">
        <x:f>IF(J1314=1,INDEX(TrackMap!$I$8:$I$141,H1314),INDEX(TrackMap!$L$8:$L$141,H1314))</x:f>
        <x:v>3117</x:v>
      </x:c>
      <x:c r="L1314" s="73" t="str">
        <x:f>INDEX(TrackMap!$F$8:$F$141,H1314)</x:f>
        <x:v>←</x:v>
      </x:c>
      <x:c r="M1314" s="87" t="n">
        <x:f>MAX(0,G1314/Control!$B$17)</x:f>
        <x:v>1</x:v>
      </x:c>
      <x:c r="N1314" s="73" t="n">
        <x:f>IF(N1308&gt;0,N1308,IF(G1314&gt;=Control!$B$17,A1314,0))</x:f>
        <x:v>195</x:v>
      </x:c>
      <x:c r="O1314" s="91" t="n">
        <x:f>IF(N1314&gt;0,Control!$B$17+Control!$B$8+1-N1314,G1314)-B1314/100000</x:f>
        <x:v>715.99995</x:v>
      </x:c>
      <x:c r="P1314" s="73" t="n">
        <x:f>COUNTIF($O$1310:$O$1315,"&gt;"&amp;O1314)+1</x:f>
        <x:v>3</x:v>
      </x:c>
      <x:c r="Q1314" s="83" t="n">
        <x:f>MAX($G$1310:$G$1315)-G1314</x:f>
        <x:v>0</x:v>
      </x:c>
      <x:c r="R1314" s="73" t="str">
        <x:f>INDEX(TrackMap!$B$8:$B$141,H1314)</x:f>
        <x:v>发车大直道</x:v>
      </x:c>
    </x:row>
    <x:row r="1315" ht="20" customHeight="1">
      <x:c r="A1315" s="73" t="n">
        <x:v>217</x:v>
      </x:c>
      <x:c r="B1315" s="73" t="n">
        <x:v>6</x:v>
      </x:c>
      <x:c r="C1315" s="73" t="str">
        <x:f>INDEX(Drivers!$B$8:$B$13,B1315)</x:f>
        <x:v>玫速</x:v>
      </x:c>
      <x:c r="D1315" s="83" t="n">
        <x:f>G1309</x:f>
        <x:v>670</x:v>
      </x:c>
      <x:c r="E1315" s="83" t="str">
        <x:f>IF(A1315=0,"GRID",IF(D1315&gt;=Control!$B$17,"FINISHED",IF(AND(A1315&gt;=INDEX(Drivers!$G$8:$G$13,B1315),A1315&lt;INDEX(Drivers!$G$8:$G$13,B1315)+INDEX(Drivers!$J$8:$J$13,B1315)),"PIT",IF(MOD(A1315+INDEX(Drivers!$F$8:$F$13,B1315),Control!$B$11)&lt;Control!$B$13,"BOOST","RACE"))))</x:f>
        <x:v>FINISHED</x:v>
      </x:c>
      <x:c r="F1315" s="83" t="n">
        <x:f>IF(OR(E1315="GRID",E1315="FINISHED",E1315="PIT"),0,MAX(Control!$B$15,(INDEX(Drivers!$D$8:$D$13,B1315)+INDEX(Drivers!$E$8:$E$13,B1315)*SIN((A1315+INDEX(Drivers!$F$8:$F$13,B1315)+Control!$B$16)*Control!$B$14))*INDEX(TrackMap!$M$8:$M$141,MOD(INT(D1315)-1,Control!$B$7)+1)*IF(E1315="BOOST",Control!$B$12,1)))</x:f>
        <x:v>0</x:v>
      </x:c>
      <x:c r="G1315" s="83" t="n">
        <x:f>IF(A1315=0,D1315,MIN(Control!$B$17,D1315+F1315))</x:f>
        <x:v>670</x:v>
      </x:c>
      <x:c r="H1315" s="73" t="n">
        <x:f>MOD(INT(G1315)-1,Control!$B$7)+1</x:f>
        <x:v>134</x:v>
      </x:c>
      <x:c r="I1315" s="73" t="n">
        <x:f>MIN(Control!$B$6,MAX(1,INT(MAX(0,G1315)/Control!$B$7)+1))</x:f>
        <x:v>5</x:v>
      </x:c>
      <x:c r="J1315" s="73" t="n">
        <x:f>INDEX(Drivers!$H$8:$H$13,B1315)</x:f>
        <x:v>2</x:v>
      </x:c>
      <x:c r="K1315" s="73" t="n">
        <x:f>IF(J1315=1,INDEX(TrackMap!$I$8:$I$141,H1315),INDEX(TrackMap!$L$8:$L$141,H1315))</x:f>
        <x:v>3017</x:v>
      </x:c>
      <x:c r="L1315" s="73" t="str">
        <x:f>INDEX(TrackMap!$F$8:$F$141,H1315)</x:f>
        <x:v>←</x:v>
      </x:c>
      <x:c r="M1315" s="87" t="n">
        <x:f>MAX(0,G1315/Control!$B$17)</x:f>
        <x:v>1</x:v>
      </x:c>
      <x:c r="N1315" s="73" t="n">
        <x:f>IF(N1309&gt;0,N1309,IF(G1315&gt;=Control!$B$17,A1315,0))</x:f>
        <x:v>196</x:v>
      </x:c>
      <x:c r="O1315" s="91" t="n">
        <x:f>IF(N1315&gt;0,Control!$B$17+Control!$B$8+1-N1315,G1315)-B1315/100000</x:f>
        <x:v>714.99994</x:v>
      </x:c>
      <x:c r="P1315" s="73" t="n">
        <x:f>COUNTIF($O$1310:$O$1315,"&gt;"&amp;O1315)+1</x:f>
        <x:v>4</x:v>
      </x:c>
      <x:c r="Q1315" s="83" t="n">
        <x:f>MAX($G$1310:$G$1315)-G1315</x:f>
        <x:v>0</x:v>
      </x:c>
      <x:c r="R1315" s="73" t="str">
        <x:f>INDEX(TrackMap!$B$8:$B$141,H1315)</x:f>
        <x:v>发车大直道</x:v>
      </x:c>
    </x:row>
    <x:row r="1316" ht="20" customHeight="1">
      <x:c r="A1316" s="73" t="n">
        <x:v>218</x:v>
      </x:c>
      <x:c r="B1316" s="73" t="n">
        <x:v>1</x:v>
      </x:c>
      <x:c r="C1316" s="73" t="str">
        <x:f>INDEX(Drivers!$B$8:$B$13,B1316)</x:f>
        <x:v>赤焰</x:v>
      </x:c>
      <x:c r="D1316" s="83" t="n">
        <x:f>G1310</x:f>
        <x:v>670</x:v>
      </x:c>
      <x:c r="E1316" s="83" t="str">
        <x:f>IF(A1316=0,"GRID",IF(D1316&gt;=Control!$B$17,"FINISHED",IF(AND(A1316&gt;=INDEX(Drivers!$G$8:$G$13,B1316),A1316&lt;INDEX(Drivers!$G$8:$G$13,B1316)+INDEX(Drivers!$J$8:$J$13,B1316)),"PIT",IF(MOD(A1316+INDEX(Drivers!$F$8:$F$13,B1316),Control!$B$11)&lt;Control!$B$13,"BOOST","RACE"))))</x:f>
        <x:v>FINISHED</x:v>
      </x:c>
      <x:c r="F1316" s="83" t="n">
        <x:f>IF(OR(E1316="GRID",E1316="FINISHED",E1316="PIT"),0,MAX(Control!$B$15,(INDEX(Drivers!$D$8:$D$13,B1316)+INDEX(Drivers!$E$8:$E$13,B1316)*SIN((A1316+INDEX(Drivers!$F$8:$F$13,B1316)+Control!$B$16)*Control!$B$14))*INDEX(TrackMap!$M$8:$M$141,MOD(INT(D1316)-1,Control!$B$7)+1)*IF(E1316="BOOST",Control!$B$12,1)))</x:f>
        <x:v>0</x:v>
      </x:c>
      <x:c r="G1316" s="83" t="n">
        <x:f>IF(A1316=0,D1316,MIN(Control!$B$17,D1316+F1316))</x:f>
        <x:v>670</x:v>
      </x:c>
      <x:c r="H1316" s="73" t="n">
        <x:f>MOD(INT(G1316)-1,Control!$B$7)+1</x:f>
        <x:v>134</x:v>
      </x:c>
      <x:c r="I1316" s="73" t="n">
        <x:f>MIN(Control!$B$6,MAX(1,INT(MAX(0,G1316)/Control!$B$7)+1))</x:f>
        <x:v>5</x:v>
      </x:c>
      <x:c r="J1316" s="73" t="n">
        <x:f>INDEX(Drivers!$H$8:$H$13,B1316)</x:f>
        <x:v>1</x:v>
      </x:c>
      <x:c r="K1316" s="73" t="n">
        <x:f>IF(J1316=1,INDEX(TrackMap!$I$8:$I$141,H1316),INDEX(TrackMap!$L$8:$L$141,H1316))</x:f>
        <x:v>3117</x:v>
      </x:c>
      <x:c r="L1316" s="73" t="str">
        <x:f>INDEX(TrackMap!$F$8:$F$141,H1316)</x:f>
        <x:v>←</x:v>
      </x:c>
      <x:c r="M1316" s="87" t="n">
        <x:f>MAX(0,G1316/Control!$B$17)</x:f>
        <x:v>1</x:v>
      </x:c>
      <x:c r="N1316" s="73" t="n">
        <x:f>IF(N1310&gt;0,N1310,IF(G1316&gt;=Control!$B$17,A1316,0))</x:f>
        <x:v>194</x:v>
      </x:c>
      <x:c r="O1316" s="91" t="n">
        <x:f>IF(N1316&gt;0,Control!$B$17+Control!$B$8+1-N1316,G1316)-B1316/100000</x:f>
        <x:v>716.99999</x:v>
      </x:c>
      <x:c r="P1316" s="73" t="n">
        <x:f>COUNTIF($O$1316:$O$1321,"&gt;"&amp;O1316)+1</x:f>
        <x:v>1</x:v>
      </x:c>
      <x:c r="Q1316" s="83" t="n">
        <x:f>MAX($G$1316:$G$1321)-G1316</x:f>
        <x:v>0</x:v>
      </x:c>
      <x:c r="R1316" s="73" t="str">
        <x:f>INDEX(TrackMap!$B$8:$B$141,H1316)</x:f>
        <x:v>发车大直道</x:v>
      </x:c>
    </x:row>
    <x:row r="1317" ht="20" customHeight="1">
      <x:c r="A1317" s="73" t="n">
        <x:v>218</x:v>
      </x:c>
      <x:c r="B1317" s="73" t="n">
        <x:v>2</x:v>
      </x:c>
      <x:c r="C1317" s="73" t="str">
        <x:f>INDEX(Drivers!$B$8:$B$13,B1317)</x:f>
        <x:v>蓝电</x:v>
      </x:c>
      <x:c r="D1317" s="83" t="n">
        <x:f>G1311</x:f>
        <x:v>670</x:v>
      </x:c>
      <x:c r="E1317" s="83" t="str">
        <x:f>IF(A1317=0,"GRID",IF(D1317&gt;=Control!$B$17,"FINISHED",IF(AND(A1317&gt;=INDEX(Drivers!$G$8:$G$13,B1317),A1317&lt;INDEX(Drivers!$G$8:$G$13,B1317)+INDEX(Drivers!$J$8:$J$13,B1317)),"PIT",IF(MOD(A1317+INDEX(Drivers!$F$8:$F$13,B1317),Control!$B$11)&lt;Control!$B$13,"BOOST","RACE"))))</x:f>
        <x:v>FINISHED</x:v>
      </x:c>
      <x:c r="F1317" s="83" t="n">
        <x:f>IF(OR(E1317="GRID",E1317="FINISHED",E1317="PIT"),0,MAX(Control!$B$15,(INDEX(Drivers!$D$8:$D$13,B1317)+INDEX(Drivers!$E$8:$E$13,B1317)*SIN((A1317+INDEX(Drivers!$F$8:$F$13,B1317)+Control!$B$16)*Control!$B$14))*INDEX(TrackMap!$M$8:$M$141,MOD(INT(D1317)-1,Control!$B$7)+1)*IF(E1317="BOOST",Control!$B$12,1)))</x:f>
        <x:v>0</x:v>
      </x:c>
      <x:c r="G1317" s="83" t="n">
        <x:f>IF(A1317=0,D1317,MIN(Control!$B$17,D1317+F1317))</x:f>
        <x:v>670</x:v>
      </x:c>
      <x:c r="H1317" s="73" t="n">
        <x:f>MOD(INT(G1317)-1,Control!$B$7)+1</x:f>
        <x:v>134</x:v>
      </x:c>
      <x:c r="I1317" s="73" t="n">
        <x:f>MIN(Control!$B$6,MAX(1,INT(MAX(0,G1317)/Control!$B$7)+1))</x:f>
        <x:v>5</x:v>
      </x:c>
      <x:c r="J1317" s="73" t="n">
        <x:f>INDEX(Drivers!$H$8:$H$13,B1317)</x:f>
        <x:v>2</x:v>
      </x:c>
      <x:c r="K1317" s="73" t="n">
        <x:f>IF(J1317=1,INDEX(TrackMap!$I$8:$I$141,H1317),INDEX(TrackMap!$L$8:$L$141,H1317))</x:f>
        <x:v>3017</x:v>
      </x:c>
      <x:c r="L1317" s="73" t="str">
        <x:f>INDEX(TrackMap!$F$8:$F$141,H1317)</x:f>
        <x:v>←</x:v>
      </x:c>
      <x:c r="M1317" s="87" t="n">
        <x:f>MAX(0,G1317/Control!$B$17)</x:f>
        <x:v>1</x:v>
      </x:c>
      <x:c r="N1317" s="73" t="n">
        <x:f>IF(N1311&gt;0,N1311,IF(G1317&gt;=Control!$B$17,A1317,0))</x:f>
        <x:v>201</x:v>
      </x:c>
      <x:c r="O1317" s="91" t="n">
        <x:f>IF(N1317&gt;0,Control!$B$17+Control!$B$8+1-N1317,G1317)-B1317/100000</x:f>
        <x:v>709.99998</x:v>
      </x:c>
      <x:c r="P1317" s="73" t="n">
        <x:f>COUNTIF($O$1316:$O$1321,"&gt;"&amp;O1317)+1</x:f>
        <x:v>6</x:v>
      </x:c>
      <x:c r="Q1317" s="83" t="n">
        <x:f>MAX($G$1316:$G$1321)-G1317</x:f>
        <x:v>0</x:v>
      </x:c>
      <x:c r="R1317" s="73" t="str">
        <x:f>INDEX(TrackMap!$B$8:$B$141,H1317)</x:f>
        <x:v>发车大直道</x:v>
      </x:c>
    </x:row>
    <x:row r="1318" ht="20" customHeight="1">
      <x:c r="A1318" s="73" t="n">
        <x:v>218</x:v>
      </x:c>
      <x:c r="B1318" s="73" t="n">
        <x:v>3</x:v>
      </x:c>
      <x:c r="C1318" s="73" t="str">
        <x:f>INDEX(Drivers!$B$8:$B$13,B1318)</x:f>
        <x:v>金翼</x:v>
      </x:c>
      <x:c r="D1318" s="83" t="n">
        <x:f>G1312</x:f>
        <x:v>670</x:v>
      </x:c>
      <x:c r="E1318" s="83" t="str">
        <x:f>IF(A1318=0,"GRID",IF(D1318&gt;=Control!$B$17,"FINISHED",IF(AND(A1318&gt;=INDEX(Drivers!$G$8:$G$13,B1318),A1318&lt;INDEX(Drivers!$G$8:$G$13,B1318)+INDEX(Drivers!$J$8:$J$13,B1318)),"PIT",IF(MOD(A1318+INDEX(Drivers!$F$8:$F$13,B1318),Control!$B$11)&lt;Control!$B$13,"BOOST","RACE"))))</x:f>
        <x:v>FINISHED</x:v>
      </x:c>
      <x:c r="F1318" s="83" t="n">
        <x:f>IF(OR(E1318="GRID",E1318="FINISHED",E1318="PIT"),0,MAX(Control!$B$15,(INDEX(Drivers!$D$8:$D$13,B1318)+INDEX(Drivers!$E$8:$E$13,B1318)*SIN((A1318+INDEX(Drivers!$F$8:$F$13,B1318)+Control!$B$16)*Control!$B$14))*INDEX(TrackMap!$M$8:$M$141,MOD(INT(D1318)-1,Control!$B$7)+1)*IF(E1318="BOOST",Control!$B$12,1)))</x:f>
        <x:v>0</x:v>
      </x:c>
      <x:c r="G1318" s="83" t="n">
        <x:f>IF(A1318=0,D1318,MIN(Control!$B$17,D1318+F1318))</x:f>
        <x:v>670</x:v>
      </x:c>
      <x:c r="H1318" s="73" t="n">
        <x:f>MOD(INT(G1318)-1,Control!$B$7)+1</x:f>
        <x:v>134</x:v>
      </x:c>
      <x:c r="I1318" s="73" t="n">
        <x:f>MIN(Control!$B$6,MAX(1,INT(MAX(0,G1318)/Control!$B$7)+1))</x:f>
        <x:v>5</x:v>
      </x:c>
      <x:c r="J1318" s="73" t="n">
        <x:f>INDEX(Drivers!$H$8:$H$13,B1318)</x:f>
        <x:v>1</x:v>
      </x:c>
      <x:c r="K1318" s="73" t="n">
        <x:f>IF(J1318=1,INDEX(TrackMap!$I$8:$I$141,H1318),INDEX(TrackMap!$L$8:$L$141,H1318))</x:f>
        <x:v>3117</x:v>
      </x:c>
      <x:c r="L1318" s="73" t="str">
        <x:f>INDEX(TrackMap!$F$8:$F$141,H1318)</x:f>
        <x:v>←</x:v>
      </x:c>
      <x:c r="M1318" s="87" t="n">
        <x:f>MAX(0,G1318/Control!$B$17)</x:f>
        <x:v>1</x:v>
      </x:c>
      <x:c r="N1318" s="73" t="n">
        <x:f>IF(N1312&gt;0,N1312,IF(G1318&gt;=Control!$B$17,A1318,0))</x:f>
        <x:v>195</x:v>
      </x:c>
      <x:c r="O1318" s="91" t="n">
        <x:f>IF(N1318&gt;0,Control!$B$17+Control!$B$8+1-N1318,G1318)-B1318/100000</x:f>
        <x:v>715.99997</x:v>
      </x:c>
      <x:c r="P1318" s="73" t="n">
        <x:f>COUNTIF($O$1316:$O$1321,"&gt;"&amp;O1318)+1</x:f>
        <x:v>2</x:v>
      </x:c>
      <x:c r="Q1318" s="83" t="n">
        <x:f>MAX($G$1316:$G$1321)-G1318</x:f>
        <x:v>0</x:v>
      </x:c>
      <x:c r="R1318" s="73" t="str">
        <x:f>INDEX(TrackMap!$B$8:$B$141,H1318)</x:f>
        <x:v>发车大直道</x:v>
      </x:c>
    </x:row>
    <x:row r="1319" ht="20" customHeight="1">
      <x:c r="A1319" s="73" t="n">
        <x:v>218</x:v>
      </x:c>
      <x:c r="B1319" s="73" t="n">
        <x:v>4</x:v>
      </x:c>
      <x:c r="C1319" s="73" t="str">
        <x:f>INDEX(Drivers!$B$8:$B$13,B1319)</x:f>
        <x:v>紫影</x:v>
      </x:c>
      <x:c r="D1319" s="83" t="n">
        <x:f>G1313</x:f>
        <x:v>670</x:v>
      </x:c>
      <x:c r="E1319" s="83" t="str">
        <x:f>IF(A1319=0,"GRID",IF(D1319&gt;=Control!$B$17,"FINISHED",IF(AND(A1319&gt;=INDEX(Drivers!$G$8:$G$13,B1319),A1319&lt;INDEX(Drivers!$G$8:$G$13,B1319)+INDEX(Drivers!$J$8:$J$13,B1319)),"PIT",IF(MOD(A1319+INDEX(Drivers!$F$8:$F$13,B1319),Control!$B$11)&lt;Control!$B$13,"BOOST","RACE"))))</x:f>
        <x:v>FINISHED</x:v>
      </x:c>
      <x:c r="F1319" s="83" t="n">
        <x:f>IF(OR(E1319="GRID",E1319="FINISHED",E1319="PIT"),0,MAX(Control!$B$15,(INDEX(Drivers!$D$8:$D$13,B1319)+INDEX(Drivers!$E$8:$E$13,B1319)*SIN((A1319+INDEX(Drivers!$F$8:$F$13,B1319)+Control!$B$16)*Control!$B$14))*INDEX(TrackMap!$M$8:$M$141,MOD(INT(D1319)-1,Control!$B$7)+1)*IF(E1319="BOOST",Control!$B$12,1)))</x:f>
        <x:v>0</x:v>
      </x:c>
      <x:c r="G1319" s="83" t="n">
        <x:f>IF(A1319=0,D1319,MIN(Control!$B$17,D1319+F1319))</x:f>
        <x:v>670</x:v>
      </x:c>
      <x:c r="H1319" s="73" t="n">
        <x:f>MOD(INT(G1319)-1,Control!$B$7)+1</x:f>
        <x:v>134</x:v>
      </x:c>
      <x:c r="I1319" s="73" t="n">
        <x:f>MIN(Control!$B$6,MAX(1,INT(MAX(0,G1319)/Control!$B$7)+1))</x:f>
        <x:v>5</x:v>
      </x:c>
      <x:c r="J1319" s="73" t="n">
        <x:f>INDEX(Drivers!$H$8:$H$13,B1319)</x:f>
        <x:v>2</x:v>
      </x:c>
      <x:c r="K1319" s="73" t="n">
        <x:f>IF(J1319=1,INDEX(TrackMap!$I$8:$I$141,H1319),INDEX(TrackMap!$L$8:$L$141,H1319))</x:f>
        <x:v>3017</x:v>
      </x:c>
      <x:c r="L1319" s="73" t="str">
        <x:f>INDEX(TrackMap!$F$8:$F$141,H1319)</x:f>
        <x:v>←</x:v>
      </x:c>
      <x:c r="M1319" s="87" t="n">
        <x:f>MAX(0,G1319/Control!$B$17)</x:f>
        <x:v>1</x:v>
      </x:c>
      <x:c r="N1319" s="73" t="n">
        <x:f>IF(N1313&gt;0,N1313,IF(G1319&gt;=Control!$B$17,A1319,0))</x:f>
        <x:v>198</x:v>
      </x:c>
      <x:c r="O1319" s="91" t="n">
        <x:f>IF(N1319&gt;0,Control!$B$17+Control!$B$8+1-N1319,G1319)-B1319/100000</x:f>
        <x:v>712.99996</x:v>
      </x:c>
      <x:c r="P1319" s="73" t="n">
        <x:f>COUNTIF($O$1316:$O$1321,"&gt;"&amp;O1319)+1</x:f>
        <x:v>5</x:v>
      </x:c>
      <x:c r="Q1319" s="83" t="n">
        <x:f>MAX($G$1316:$G$1321)-G1319</x:f>
        <x:v>0</x:v>
      </x:c>
      <x:c r="R1319" s="73" t="str">
        <x:f>INDEX(TrackMap!$B$8:$B$141,H1319)</x:f>
        <x:v>发车大直道</x:v>
      </x:c>
    </x:row>
    <x:row r="1320" ht="20" customHeight="1">
      <x:c r="A1320" s="73" t="n">
        <x:v>218</x:v>
      </x:c>
      <x:c r="B1320" s="73" t="n">
        <x:v>5</x:v>
      </x:c>
      <x:c r="C1320" s="73" t="str">
        <x:f>INDEX(Drivers!$B$8:$B$13,B1320)</x:f>
        <x:v>青锋</x:v>
      </x:c>
      <x:c r="D1320" s="83" t="n">
        <x:f>G1314</x:f>
        <x:v>670</x:v>
      </x:c>
      <x:c r="E1320" s="83" t="str">
        <x:f>IF(A1320=0,"GRID",IF(D1320&gt;=Control!$B$17,"FINISHED",IF(AND(A1320&gt;=INDEX(Drivers!$G$8:$G$13,B1320),A1320&lt;INDEX(Drivers!$G$8:$G$13,B1320)+INDEX(Drivers!$J$8:$J$13,B1320)),"PIT",IF(MOD(A1320+INDEX(Drivers!$F$8:$F$13,B1320),Control!$B$11)&lt;Control!$B$13,"BOOST","RACE"))))</x:f>
        <x:v>FINISHED</x:v>
      </x:c>
      <x:c r="F1320" s="83" t="n">
        <x:f>IF(OR(E1320="GRID",E1320="FINISHED",E1320="PIT"),0,MAX(Control!$B$15,(INDEX(Drivers!$D$8:$D$13,B1320)+INDEX(Drivers!$E$8:$E$13,B1320)*SIN((A1320+INDEX(Drivers!$F$8:$F$13,B1320)+Control!$B$16)*Control!$B$14))*INDEX(TrackMap!$M$8:$M$141,MOD(INT(D1320)-1,Control!$B$7)+1)*IF(E1320="BOOST",Control!$B$12,1)))</x:f>
        <x:v>0</x:v>
      </x:c>
      <x:c r="G1320" s="83" t="n">
        <x:f>IF(A1320=0,D1320,MIN(Control!$B$17,D1320+F1320))</x:f>
        <x:v>670</x:v>
      </x:c>
      <x:c r="H1320" s="73" t="n">
        <x:f>MOD(INT(G1320)-1,Control!$B$7)+1</x:f>
        <x:v>134</x:v>
      </x:c>
      <x:c r="I1320" s="73" t="n">
        <x:f>MIN(Control!$B$6,MAX(1,INT(MAX(0,G1320)/Control!$B$7)+1))</x:f>
        <x:v>5</x:v>
      </x:c>
      <x:c r="J1320" s="73" t="n">
        <x:f>INDEX(Drivers!$H$8:$H$13,B1320)</x:f>
        <x:v>1</x:v>
      </x:c>
      <x:c r="K1320" s="73" t="n">
        <x:f>IF(J1320=1,INDEX(TrackMap!$I$8:$I$141,H1320),INDEX(TrackMap!$L$8:$L$141,H1320))</x:f>
        <x:v>3117</x:v>
      </x:c>
      <x:c r="L1320" s="73" t="str">
        <x:f>INDEX(TrackMap!$F$8:$F$141,H1320)</x:f>
        <x:v>←</x:v>
      </x:c>
      <x:c r="M1320" s="87" t="n">
        <x:f>MAX(0,G1320/Control!$B$17)</x:f>
        <x:v>1</x:v>
      </x:c>
      <x:c r="N1320" s="73" t="n">
        <x:f>IF(N1314&gt;0,N1314,IF(G1320&gt;=Control!$B$17,A1320,0))</x:f>
        <x:v>195</x:v>
      </x:c>
      <x:c r="O1320" s="91" t="n">
        <x:f>IF(N1320&gt;0,Control!$B$17+Control!$B$8+1-N1320,G1320)-B1320/100000</x:f>
        <x:v>715.99995</x:v>
      </x:c>
      <x:c r="P1320" s="73" t="n">
        <x:f>COUNTIF($O$1316:$O$1321,"&gt;"&amp;O1320)+1</x:f>
        <x:v>3</x:v>
      </x:c>
      <x:c r="Q1320" s="83" t="n">
        <x:f>MAX($G$1316:$G$1321)-G1320</x:f>
        <x:v>0</x:v>
      </x:c>
      <x:c r="R1320" s="73" t="str">
        <x:f>INDEX(TrackMap!$B$8:$B$141,H1320)</x:f>
        <x:v>发车大直道</x:v>
      </x:c>
    </x:row>
    <x:row r="1321" ht="20" customHeight="1">
      <x:c r="A1321" s="73" t="n">
        <x:v>218</x:v>
      </x:c>
      <x:c r="B1321" s="73" t="n">
        <x:v>6</x:v>
      </x:c>
      <x:c r="C1321" s="73" t="str">
        <x:f>INDEX(Drivers!$B$8:$B$13,B1321)</x:f>
        <x:v>玫速</x:v>
      </x:c>
      <x:c r="D1321" s="83" t="n">
        <x:f>G1315</x:f>
        <x:v>670</x:v>
      </x:c>
      <x:c r="E1321" s="83" t="str">
        <x:f>IF(A1321=0,"GRID",IF(D1321&gt;=Control!$B$17,"FINISHED",IF(AND(A1321&gt;=INDEX(Drivers!$G$8:$G$13,B1321),A1321&lt;INDEX(Drivers!$G$8:$G$13,B1321)+INDEX(Drivers!$J$8:$J$13,B1321)),"PIT",IF(MOD(A1321+INDEX(Drivers!$F$8:$F$13,B1321),Control!$B$11)&lt;Control!$B$13,"BOOST","RACE"))))</x:f>
        <x:v>FINISHED</x:v>
      </x:c>
      <x:c r="F1321" s="83" t="n">
        <x:f>IF(OR(E1321="GRID",E1321="FINISHED",E1321="PIT"),0,MAX(Control!$B$15,(INDEX(Drivers!$D$8:$D$13,B1321)+INDEX(Drivers!$E$8:$E$13,B1321)*SIN((A1321+INDEX(Drivers!$F$8:$F$13,B1321)+Control!$B$16)*Control!$B$14))*INDEX(TrackMap!$M$8:$M$141,MOD(INT(D1321)-1,Control!$B$7)+1)*IF(E1321="BOOST",Control!$B$12,1)))</x:f>
        <x:v>0</x:v>
      </x:c>
      <x:c r="G1321" s="83" t="n">
        <x:f>IF(A1321=0,D1321,MIN(Control!$B$17,D1321+F1321))</x:f>
        <x:v>670</x:v>
      </x:c>
      <x:c r="H1321" s="73" t="n">
        <x:f>MOD(INT(G1321)-1,Control!$B$7)+1</x:f>
        <x:v>134</x:v>
      </x:c>
      <x:c r="I1321" s="73" t="n">
        <x:f>MIN(Control!$B$6,MAX(1,INT(MAX(0,G1321)/Control!$B$7)+1))</x:f>
        <x:v>5</x:v>
      </x:c>
      <x:c r="J1321" s="73" t="n">
        <x:f>INDEX(Drivers!$H$8:$H$13,B1321)</x:f>
        <x:v>2</x:v>
      </x:c>
      <x:c r="K1321" s="73" t="n">
        <x:f>IF(J1321=1,INDEX(TrackMap!$I$8:$I$141,H1321),INDEX(TrackMap!$L$8:$L$141,H1321))</x:f>
        <x:v>3017</x:v>
      </x:c>
      <x:c r="L1321" s="73" t="str">
        <x:f>INDEX(TrackMap!$F$8:$F$141,H1321)</x:f>
        <x:v>←</x:v>
      </x:c>
      <x:c r="M1321" s="87" t="n">
        <x:f>MAX(0,G1321/Control!$B$17)</x:f>
        <x:v>1</x:v>
      </x:c>
      <x:c r="N1321" s="73" t="n">
        <x:f>IF(N1315&gt;0,N1315,IF(G1321&gt;=Control!$B$17,A1321,0))</x:f>
        <x:v>196</x:v>
      </x:c>
      <x:c r="O1321" s="91" t="n">
        <x:f>IF(N1321&gt;0,Control!$B$17+Control!$B$8+1-N1321,G1321)-B1321/100000</x:f>
        <x:v>714.99994</x:v>
      </x:c>
      <x:c r="P1321" s="73" t="n">
        <x:f>COUNTIF($O$1316:$O$1321,"&gt;"&amp;O1321)+1</x:f>
        <x:v>4</x:v>
      </x:c>
      <x:c r="Q1321" s="83" t="n">
        <x:f>MAX($G$1316:$G$1321)-G1321</x:f>
        <x:v>0</x:v>
      </x:c>
      <x:c r="R1321" s="73" t="str">
        <x:f>INDEX(TrackMap!$B$8:$B$141,H1321)</x:f>
        <x:v>发车大直道</x:v>
      </x:c>
    </x:row>
    <x:row r="1322" ht="20" customHeight="1">
      <x:c r="A1322" s="73" t="n">
        <x:v>219</x:v>
      </x:c>
      <x:c r="B1322" s="73" t="n">
        <x:v>1</x:v>
      </x:c>
      <x:c r="C1322" s="73" t="str">
        <x:f>INDEX(Drivers!$B$8:$B$13,B1322)</x:f>
        <x:v>赤焰</x:v>
      </x:c>
      <x:c r="D1322" s="83" t="n">
        <x:f>G1316</x:f>
        <x:v>670</x:v>
      </x:c>
      <x:c r="E1322" s="83" t="str">
        <x:f>IF(A1322=0,"GRID",IF(D1322&gt;=Control!$B$17,"FINISHED",IF(AND(A1322&gt;=INDEX(Drivers!$G$8:$G$13,B1322),A1322&lt;INDEX(Drivers!$G$8:$G$13,B1322)+INDEX(Drivers!$J$8:$J$13,B1322)),"PIT",IF(MOD(A1322+INDEX(Drivers!$F$8:$F$13,B1322),Control!$B$11)&lt;Control!$B$13,"BOOST","RACE"))))</x:f>
        <x:v>FINISHED</x:v>
      </x:c>
      <x:c r="F1322" s="83" t="n">
        <x:f>IF(OR(E1322="GRID",E1322="FINISHED",E1322="PIT"),0,MAX(Control!$B$15,(INDEX(Drivers!$D$8:$D$13,B1322)+INDEX(Drivers!$E$8:$E$13,B1322)*SIN((A1322+INDEX(Drivers!$F$8:$F$13,B1322)+Control!$B$16)*Control!$B$14))*INDEX(TrackMap!$M$8:$M$141,MOD(INT(D1322)-1,Control!$B$7)+1)*IF(E1322="BOOST",Control!$B$12,1)))</x:f>
        <x:v>0</x:v>
      </x:c>
      <x:c r="G1322" s="83" t="n">
        <x:f>IF(A1322=0,D1322,MIN(Control!$B$17,D1322+F1322))</x:f>
        <x:v>670</x:v>
      </x:c>
      <x:c r="H1322" s="73" t="n">
        <x:f>MOD(INT(G1322)-1,Control!$B$7)+1</x:f>
        <x:v>134</x:v>
      </x:c>
      <x:c r="I1322" s="73" t="n">
        <x:f>MIN(Control!$B$6,MAX(1,INT(MAX(0,G1322)/Control!$B$7)+1))</x:f>
        <x:v>5</x:v>
      </x:c>
      <x:c r="J1322" s="73" t="n">
        <x:f>INDEX(Drivers!$H$8:$H$13,B1322)</x:f>
        <x:v>1</x:v>
      </x:c>
      <x:c r="K1322" s="73" t="n">
        <x:f>IF(J1322=1,INDEX(TrackMap!$I$8:$I$141,H1322),INDEX(TrackMap!$L$8:$L$141,H1322))</x:f>
        <x:v>3117</x:v>
      </x:c>
      <x:c r="L1322" s="73" t="str">
        <x:f>INDEX(TrackMap!$F$8:$F$141,H1322)</x:f>
        <x:v>←</x:v>
      </x:c>
      <x:c r="M1322" s="87" t="n">
        <x:f>MAX(0,G1322/Control!$B$17)</x:f>
        <x:v>1</x:v>
      </x:c>
      <x:c r="N1322" s="73" t="n">
        <x:f>IF(N1316&gt;0,N1316,IF(G1322&gt;=Control!$B$17,A1322,0))</x:f>
        <x:v>194</x:v>
      </x:c>
      <x:c r="O1322" s="91" t="n">
        <x:f>IF(N1322&gt;0,Control!$B$17+Control!$B$8+1-N1322,G1322)-B1322/100000</x:f>
        <x:v>716.99999</x:v>
      </x:c>
      <x:c r="P1322" s="73" t="n">
        <x:f>COUNTIF($O$1322:$O$1327,"&gt;"&amp;O1322)+1</x:f>
        <x:v>1</x:v>
      </x:c>
      <x:c r="Q1322" s="83" t="n">
        <x:f>MAX($G$1322:$G$1327)-G1322</x:f>
        <x:v>0</x:v>
      </x:c>
      <x:c r="R1322" s="73" t="str">
        <x:f>INDEX(TrackMap!$B$8:$B$141,H1322)</x:f>
        <x:v>发车大直道</x:v>
      </x:c>
    </x:row>
    <x:row r="1323" ht="20" customHeight="1">
      <x:c r="A1323" s="73" t="n">
        <x:v>219</x:v>
      </x:c>
      <x:c r="B1323" s="73" t="n">
        <x:v>2</x:v>
      </x:c>
      <x:c r="C1323" s="73" t="str">
        <x:f>INDEX(Drivers!$B$8:$B$13,B1323)</x:f>
        <x:v>蓝电</x:v>
      </x:c>
      <x:c r="D1323" s="83" t="n">
        <x:f>G1317</x:f>
        <x:v>670</x:v>
      </x:c>
      <x:c r="E1323" s="83" t="str">
        <x:f>IF(A1323=0,"GRID",IF(D1323&gt;=Control!$B$17,"FINISHED",IF(AND(A1323&gt;=INDEX(Drivers!$G$8:$G$13,B1323),A1323&lt;INDEX(Drivers!$G$8:$G$13,B1323)+INDEX(Drivers!$J$8:$J$13,B1323)),"PIT",IF(MOD(A1323+INDEX(Drivers!$F$8:$F$13,B1323),Control!$B$11)&lt;Control!$B$13,"BOOST","RACE"))))</x:f>
        <x:v>FINISHED</x:v>
      </x:c>
      <x:c r="F1323" s="83" t="n">
        <x:f>IF(OR(E1323="GRID",E1323="FINISHED",E1323="PIT"),0,MAX(Control!$B$15,(INDEX(Drivers!$D$8:$D$13,B1323)+INDEX(Drivers!$E$8:$E$13,B1323)*SIN((A1323+INDEX(Drivers!$F$8:$F$13,B1323)+Control!$B$16)*Control!$B$14))*INDEX(TrackMap!$M$8:$M$141,MOD(INT(D1323)-1,Control!$B$7)+1)*IF(E1323="BOOST",Control!$B$12,1)))</x:f>
        <x:v>0</x:v>
      </x:c>
      <x:c r="G1323" s="83" t="n">
        <x:f>IF(A1323=0,D1323,MIN(Control!$B$17,D1323+F1323))</x:f>
        <x:v>670</x:v>
      </x:c>
      <x:c r="H1323" s="73" t="n">
        <x:f>MOD(INT(G1323)-1,Control!$B$7)+1</x:f>
        <x:v>134</x:v>
      </x:c>
      <x:c r="I1323" s="73" t="n">
        <x:f>MIN(Control!$B$6,MAX(1,INT(MAX(0,G1323)/Control!$B$7)+1))</x:f>
        <x:v>5</x:v>
      </x:c>
      <x:c r="J1323" s="73" t="n">
        <x:f>INDEX(Drivers!$H$8:$H$13,B1323)</x:f>
        <x:v>2</x:v>
      </x:c>
      <x:c r="K1323" s="73" t="n">
        <x:f>IF(J1323=1,INDEX(TrackMap!$I$8:$I$141,H1323),INDEX(TrackMap!$L$8:$L$141,H1323))</x:f>
        <x:v>3017</x:v>
      </x:c>
      <x:c r="L1323" s="73" t="str">
        <x:f>INDEX(TrackMap!$F$8:$F$141,H1323)</x:f>
        <x:v>←</x:v>
      </x:c>
      <x:c r="M1323" s="87" t="n">
        <x:f>MAX(0,G1323/Control!$B$17)</x:f>
        <x:v>1</x:v>
      </x:c>
      <x:c r="N1323" s="73" t="n">
        <x:f>IF(N1317&gt;0,N1317,IF(G1323&gt;=Control!$B$17,A1323,0))</x:f>
        <x:v>201</x:v>
      </x:c>
      <x:c r="O1323" s="91" t="n">
        <x:f>IF(N1323&gt;0,Control!$B$17+Control!$B$8+1-N1323,G1323)-B1323/100000</x:f>
        <x:v>709.99998</x:v>
      </x:c>
      <x:c r="P1323" s="73" t="n">
        <x:f>COUNTIF($O$1322:$O$1327,"&gt;"&amp;O1323)+1</x:f>
        <x:v>6</x:v>
      </x:c>
      <x:c r="Q1323" s="83" t="n">
        <x:f>MAX($G$1322:$G$1327)-G1323</x:f>
        <x:v>0</x:v>
      </x:c>
      <x:c r="R1323" s="73" t="str">
        <x:f>INDEX(TrackMap!$B$8:$B$141,H1323)</x:f>
        <x:v>发车大直道</x:v>
      </x:c>
    </x:row>
    <x:row r="1324" ht="20" customHeight="1">
      <x:c r="A1324" s="73" t="n">
        <x:v>219</x:v>
      </x:c>
      <x:c r="B1324" s="73" t="n">
        <x:v>3</x:v>
      </x:c>
      <x:c r="C1324" s="73" t="str">
        <x:f>INDEX(Drivers!$B$8:$B$13,B1324)</x:f>
        <x:v>金翼</x:v>
      </x:c>
      <x:c r="D1324" s="83" t="n">
        <x:f>G1318</x:f>
        <x:v>670</x:v>
      </x:c>
      <x:c r="E1324" s="83" t="str">
        <x:f>IF(A1324=0,"GRID",IF(D1324&gt;=Control!$B$17,"FINISHED",IF(AND(A1324&gt;=INDEX(Drivers!$G$8:$G$13,B1324),A1324&lt;INDEX(Drivers!$G$8:$G$13,B1324)+INDEX(Drivers!$J$8:$J$13,B1324)),"PIT",IF(MOD(A1324+INDEX(Drivers!$F$8:$F$13,B1324),Control!$B$11)&lt;Control!$B$13,"BOOST","RACE"))))</x:f>
        <x:v>FINISHED</x:v>
      </x:c>
      <x:c r="F1324" s="83" t="n">
        <x:f>IF(OR(E1324="GRID",E1324="FINISHED",E1324="PIT"),0,MAX(Control!$B$15,(INDEX(Drivers!$D$8:$D$13,B1324)+INDEX(Drivers!$E$8:$E$13,B1324)*SIN((A1324+INDEX(Drivers!$F$8:$F$13,B1324)+Control!$B$16)*Control!$B$14))*INDEX(TrackMap!$M$8:$M$141,MOD(INT(D1324)-1,Control!$B$7)+1)*IF(E1324="BOOST",Control!$B$12,1)))</x:f>
        <x:v>0</x:v>
      </x:c>
      <x:c r="G1324" s="83" t="n">
        <x:f>IF(A1324=0,D1324,MIN(Control!$B$17,D1324+F1324))</x:f>
        <x:v>670</x:v>
      </x:c>
      <x:c r="H1324" s="73" t="n">
        <x:f>MOD(INT(G1324)-1,Control!$B$7)+1</x:f>
        <x:v>134</x:v>
      </x:c>
      <x:c r="I1324" s="73" t="n">
        <x:f>MIN(Control!$B$6,MAX(1,INT(MAX(0,G1324)/Control!$B$7)+1))</x:f>
        <x:v>5</x:v>
      </x:c>
      <x:c r="J1324" s="73" t="n">
        <x:f>INDEX(Drivers!$H$8:$H$13,B1324)</x:f>
        <x:v>1</x:v>
      </x:c>
      <x:c r="K1324" s="73" t="n">
        <x:f>IF(J1324=1,INDEX(TrackMap!$I$8:$I$141,H1324),INDEX(TrackMap!$L$8:$L$141,H1324))</x:f>
        <x:v>3117</x:v>
      </x:c>
      <x:c r="L1324" s="73" t="str">
        <x:f>INDEX(TrackMap!$F$8:$F$141,H1324)</x:f>
        <x:v>←</x:v>
      </x:c>
      <x:c r="M1324" s="87" t="n">
        <x:f>MAX(0,G1324/Control!$B$17)</x:f>
        <x:v>1</x:v>
      </x:c>
      <x:c r="N1324" s="73" t="n">
        <x:f>IF(N1318&gt;0,N1318,IF(G1324&gt;=Control!$B$17,A1324,0))</x:f>
        <x:v>195</x:v>
      </x:c>
      <x:c r="O1324" s="91" t="n">
        <x:f>IF(N1324&gt;0,Control!$B$17+Control!$B$8+1-N1324,G1324)-B1324/100000</x:f>
        <x:v>715.99997</x:v>
      </x:c>
      <x:c r="P1324" s="73" t="n">
        <x:f>COUNTIF($O$1322:$O$1327,"&gt;"&amp;O1324)+1</x:f>
        <x:v>2</x:v>
      </x:c>
      <x:c r="Q1324" s="83" t="n">
        <x:f>MAX($G$1322:$G$1327)-G1324</x:f>
        <x:v>0</x:v>
      </x:c>
      <x:c r="R1324" s="73" t="str">
        <x:f>INDEX(TrackMap!$B$8:$B$141,H1324)</x:f>
        <x:v>发车大直道</x:v>
      </x:c>
    </x:row>
    <x:row r="1325" ht="20" customHeight="1">
      <x:c r="A1325" s="73" t="n">
        <x:v>219</x:v>
      </x:c>
      <x:c r="B1325" s="73" t="n">
        <x:v>4</x:v>
      </x:c>
      <x:c r="C1325" s="73" t="str">
        <x:f>INDEX(Drivers!$B$8:$B$13,B1325)</x:f>
        <x:v>紫影</x:v>
      </x:c>
      <x:c r="D1325" s="83" t="n">
        <x:f>G1319</x:f>
        <x:v>670</x:v>
      </x:c>
      <x:c r="E1325" s="83" t="str">
        <x:f>IF(A1325=0,"GRID",IF(D1325&gt;=Control!$B$17,"FINISHED",IF(AND(A1325&gt;=INDEX(Drivers!$G$8:$G$13,B1325),A1325&lt;INDEX(Drivers!$G$8:$G$13,B1325)+INDEX(Drivers!$J$8:$J$13,B1325)),"PIT",IF(MOD(A1325+INDEX(Drivers!$F$8:$F$13,B1325),Control!$B$11)&lt;Control!$B$13,"BOOST","RACE"))))</x:f>
        <x:v>FINISHED</x:v>
      </x:c>
      <x:c r="F1325" s="83" t="n">
        <x:f>IF(OR(E1325="GRID",E1325="FINISHED",E1325="PIT"),0,MAX(Control!$B$15,(INDEX(Drivers!$D$8:$D$13,B1325)+INDEX(Drivers!$E$8:$E$13,B1325)*SIN((A1325+INDEX(Drivers!$F$8:$F$13,B1325)+Control!$B$16)*Control!$B$14))*INDEX(TrackMap!$M$8:$M$141,MOD(INT(D1325)-1,Control!$B$7)+1)*IF(E1325="BOOST",Control!$B$12,1)))</x:f>
        <x:v>0</x:v>
      </x:c>
      <x:c r="G1325" s="83" t="n">
        <x:f>IF(A1325=0,D1325,MIN(Control!$B$17,D1325+F1325))</x:f>
        <x:v>670</x:v>
      </x:c>
      <x:c r="H1325" s="73" t="n">
        <x:f>MOD(INT(G1325)-1,Control!$B$7)+1</x:f>
        <x:v>134</x:v>
      </x:c>
      <x:c r="I1325" s="73" t="n">
        <x:f>MIN(Control!$B$6,MAX(1,INT(MAX(0,G1325)/Control!$B$7)+1))</x:f>
        <x:v>5</x:v>
      </x:c>
      <x:c r="J1325" s="73" t="n">
        <x:f>INDEX(Drivers!$H$8:$H$13,B1325)</x:f>
        <x:v>2</x:v>
      </x:c>
      <x:c r="K1325" s="73" t="n">
        <x:f>IF(J1325=1,INDEX(TrackMap!$I$8:$I$141,H1325),INDEX(TrackMap!$L$8:$L$141,H1325))</x:f>
        <x:v>3017</x:v>
      </x:c>
      <x:c r="L1325" s="73" t="str">
        <x:f>INDEX(TrackMap!$F$8:$F$141,H1325)</x:f>
        <x:v>←</x:v>
      </x:c>
      <x:c r="M1325" s="87" t="n">
        <x:f>MAX(0,G1325/Control!$B$17)</x:f>
        <x:v>1</x:v>
      </x:c>
      <x:c r="N1325" s="73" t="n">
        <x:f>IF(N1319&gt;0,N1319,IF(G1325&gt;=Control!$B$17,A1325,0))</x:f>
        <x:v>198</x:v>
      </x:c>
      <x:c r="O1325" s="91" t="n">
        <x:f>IF(N1325&gt;0,Control!$B$17+Control!$B$8+1-N1325,G1325)-B1325/100000</x:f>
        <x:v>712.99996</x:v>
      </x:c>
      <x:c r="P1325" s="73" t="n">
        <x:f>COUNTIF($O$1322:$O$1327,"&gt;"&amp;O1325)+1</x:f>
        <x:v>5</x:v>
      </x:c>
      <x:c r="Q1325" s="83" t="n">
        <x:f>MAX($G$1322:$G$1327)-G1325</x:f>
        <x:v>0</x:v>
      </x:c>
      <x:c r="R1325" s="73" t="str">
        <x:f>INDEX(TrackMap!$B$8:$B$141,H1325)</x:f>
        <x:v>发车大直道</x:v>
      </x:c>
    </x:row>
    <x:row r="1326" ht="20" customHeight="1">
      <x:c r="A1326" s="73" t="n">
        <x:v>219</x:v>
      </x:c>
      <x:c r="B1326" s="73" t="n">
        <x:v>5</x:v>
      </x:c>
      <x:c r="C1326" s="73" t="str">
        <x:f>INDEX(Drivers!$B$8:$B$13,B1326)</x:f>
        <x:v>青锋</x:v>
      </x:c>
      <x:c r="D1326" s="83" t="n">
        <x:f>G1320</x:f>
        <x:v>670</x:v>
      </x:c>
      <x:c r="E1326" s="83" t="str">
        <x:f>IF(A1326=0,"GRID",IF(D1326&gt;=Control!$B$17,"FINISHED",IF(AND(A1326&gt;=INDEX(Drivers!$G$8:$G$13,B1326),A1326&lt;INDEX(Drivers!$G$8:$G$13,B1326)+INDEX(Drivers!$J$8:$J$13,B1326)),"PIT",IF(MOD(A1326+INDEX(Drivers!$F$8:$F$13,B1326),Control!$B$11)&lt;Control!$B$13,"BOOST","RACE"))))</x:f>
        <x:v>FINISHED</x:v>
      </x:c>
      <x:c r="F1326" s="83" t="n">
        <x:f>IF(OR(E1326="GRID",E1326="FINISHED",E1326="PIT"),0,MAX(Control!$B$15,(INDEX(Drivers!$D$8:$D$13,B1326)+INDEX(Drivers!$E$8:$E$13,B1326)*SIN((A1326+INDEX(Drivers!$F$8:$F$13,B1326)+Control!$B$16)*Control!$B$14))*INDEX(TrackMap!$M$8:$M$141,MOD(INT(D1326)-1,Control!$B$7)+1)*IF(E1326="BOOST",Control!$B$12,1)))</x:f>
        <x:v>0</x:v>
      </x:c>
      <x:c r="G1326" s="83" t="n">
        <x:f>IF(A1326=0,D1326,MIN(Control!$B$17,D1326+F1326))</x:f>
        <x:v>670</x:v>
      </x:c>
      <x:c r="H1326" s="73" t="n">
        <x:f>MOD(INT(G1326)-1,Control!$B$7)+1</x:f>
        <x:v>134</x:v>
      </x:c>
      <x:c r="I1326" s="73" t="n">
        <x:f>MIN(Control!$B$6,MAX(1,INT(MAX(0,G1326)/Control!$B$7)+1))</x:f>
        <x:v>5</x:v>
      </x:c>
      <x:c r="J1326" s="73" t="n">
        <x:f>INDEX(Drivers!$H$8:$H$13,B1326)</x:f>
        <x:v>1</x:v>
      </x:c>
      <x:c r="K1326" s="73" t="n">
        <x:f>IF(J1326=1,INDEX(TrackMap!$I$8:$I$141,H1326),INDEX(TrackMap!$L$8:$L$141,H1326))</x:f>
        <x:v>3117</x:v>
      </x:c>
      <x:c r="L1326" s="73" t="str">
        <x:f>INDEX(TrackMap!$F$8:$F$141,H1326)</x:f>
        <x:v>←</x:v>
      </x:c>
      <x:c r="M1326" s="87" t="n">
        <x:f>MAX(0,G1326/Control!$B$17)</x:f>
        <x:v>1</x:v>
      </x:c>
      <x:c r="N1326" s="73" t="n">
        <x:f>IF(N1320&gt;0,N1320,IF(G1326&gt;=Control!$B$17,A1326,0))</x:f>
        <x:v>195</x:v>
      </x:c>
      <x:c r="O1326" s="91" t="n">
        <x:f>IF(N1326&gt;0,Control!$B$17+Control!$B$8+1-N1326,G1326)-B1326/100000</x:f>
        <x:v>715.99995</x:v>
      </x:c>
      <x:c r="P1326" s="73" t="n">
        <x:f>COUNTIF($O$1322:$O$1327,"&gt;"&amp;O1326)+1</x:f>
        <x:v>3</x:v>
      </x:c>
      <x:c r="Q1326" s="83" t="n">
        <x:f>MAX($G$1322:$G$1327)-G1326</x:f>
        <x:v>0</x:v>
      </x:c>
      <x:c r="R1326" s="73" t="str">
        <x:f>INDEX(TrackMap!$B$8:$B$141,H1326)</x:f>
        <x:v>发车大直道</x:v>
      </x:c>
    </x:row>
    <x:row r="1327" ht="20" customHeight="1">
      <x:c r="A1327" s="73" t="n">
        <x:v>219</x:v>
      </x:c>
      <x:c r="B1327" s="73" t="n">
        <x:v>6</x:v>
      </x:c>
      <x:c r="C1327" s="73" t="str">
        <x:f>INDEX(Drivers!$B$8:$B$13,B1327)</x:f>
        <x:v>玫速</x:v>
      </x:c>
      <x:c r="D1327" s="83" t="n">
        <x:f>G1321</x:f>
        <x:v>670</x:v>
      </x:c>
      <x:c r="E1327" s="83" t="str">
        <x:f>IF(A1327=0,"GRID",IF(D1327&gt;=Control!$B$17,"FINISHED",IF(AND(A1327&gt;=INDEX(Drivers!$G$8:$G$13,B1327),A1327&lt;INDEX(Drivers!$G$8:$G$13,B1327)+INDEX(Drivers!$J$8:$J$13,B1327)),"PIT",IF(MOD(A1327+INDEX(Drivers!$F$8:$F$13,B1327),Control!$B$11)&lt;Control!$B$13,"BOOST","RACE"))))</x:f>
        <x:v>FINISHED</x:v>
      </x:c>
      <x:c r="F1327" s="83" t="n">
        <x:f>IF(OR(E1327="GRID",E1327="FINISHED",E1327="PIT"),0,MAX(Control!$B$15,(INDEX(Drivers!$D$8:$D$13,B1327)+INDEX(Drivers!$E$8:$E$13,B1327)*SIN((A1327+INDEX(Drivers!$F$8:$F$13,B1327)+Control!$B$16)*Control!$B$14))*INDEX(TrackMap!$M$8:$M$141,MOD(INT(D1327)-1,Control!$B$7)+1)*IF(E1327="BOOST",Control!$B$12,1)))</x:f>
        <x:v>0</x:v>
      </x:c>
      <x:c r="G1327" s="83" t="n">
        <x:f>IF(A1327=0,D1327,MIN(Control!$B$17,D1327+F1327))</x:f>
        <x:v>670</x:v>
      </x:c>
      <x:c r="H1327" s="73" t="n">
        <x:f>MOD(INT(G1327)-1,Control!$B$7)+1</x:f>
        <x:v>134</x:v>
      </x:c>
      <x:c r="I1327" s="73" t="n">
        <x:f>MIN(Control!$B$6,MAX(1,INT(MAX(0,G1327)/Control!$B$7)+1))</x:f>
        <x:v>5</x:v>
      </x:c>
      <x:c r="J1327" s="73" t="n">
        <x:f>INDEX(Drivers!$H$8:$H$13,B1327)</x:f>
        <x:v>2</x:v>
      </x:c>
      <x:c r="K1327" s="73" t="n">
        <x:f>IF(J1327=1,INDEX(TrackMap!$I$8:$I$141,H1327),INDEX(TrackMap!$L$8:$L$141,H1327))</x:f>
        <x:v>3017</x:v>
      </x:c>
      <x:c r="L1327" s="73" t="str">
        <x:f>INDEX(TrackMap!$F$8:$F$141,H1327)</x:f>
        <x:v>←</x:v>
      </x:c>
      <x:c r="M1327" s="87" t="n">
        <x:f>MAX(0,G1327/Control!$B$17)</x:f>
        <x:v>1</x:v>
      </x:c>
      <x:c r="N1327" s="73" t="n">
        <x:f>IF(N1321&gt;0,N1321,IF(G1327&gt;=Control!$B$17,A1327,0))</x:f>
        <x:v>196</x:v>
      </x:c>
      <x:c r="O1327" s="91" t="n">
        <x:f>IF(N1327&gt;0,Control!$B$17+Control!$B$8+1-N1327,G1327)-B1327/100000</x:f>
        <x:v>714.99994</x:v>
      </x:c>
      <x:c r="P1327" s="73" t="n">
        <x:f>COUNTIF($O$1322:$O$1327,"&gt;"&amp;O1327)+1</x:f>
        <x:v>4</x:v>
      </x:c>
      <x:c r="Q1327" s="83" t="n">
        <x:f>MAX($G$1322:$G$1327)-G1327</x:f>
        <x:v>0</x:v>
      </x:c>
      <x:c r="R1327" s="73" t="str">
        <x:f>INDEX(TrackMap!$B$8:$B$141,H1327)</x:f>
        <x:v>发车大直道</x:v>
      </x:c>
    </x:row>
    <x:row r="1328" ht="20" customHeight="1">
      <x:c r="A1328" s="73" t="n">
        <x:v>220</x:v>
      </x:c>
      <x:c r="B1328" s="73" t="n">
        <x:v>1</x:v>
      </x:c>
      <x:c r="C1328" s="73" t="str">
        <x:f>INDEX(Drivers!$B$8:$B$13,B1328)</x:f>
        <x:v>赤焰</x:v>
      </x:c>
      <x:c r="D1328" s="83" t="n">
        <x:f>G1322</x:f>
        <x:v>670</x:v>
      </x:c>
      <x:c r="E1328" s="83" t="str">
        <x:f>IF(A1328=0,"GRID",IF(D1328&gt;=Control!$B$17,"FINISHED",IF(AND(A1328&gt;=INDEX(Drivers!$G$8:$G$13,B1328),A1328&lt;INDEX(Drivers!$G$8:$G$13,B1328)+INDEX(Drivers!$J$8:$J$13,B1328)),"PIT",IF(MOD(A1328+INDEX(Drivers!$F$8:$F$13,B1328),Control!$B$11)&lt;Control!$B$13,"BOOST","RACE"))))</x:f>
        <x:v>FINISHED</x:v>
      </x:c>
      <x:c r="F1328" s="83" t="n">
        <x:f>IF(OR(E1328="GRID",E1328="FINISHED",E1328="PIT"),0,MAX(Control!$B$15,(INDEX(Drivers!$D$8:$D$13,B1328)+INDEX(Drivers!$E$8:$E$13,B1328)*SIN((A1328+INDEX(Drivers!$F$8:$F$13,B1328)+Control!$B$16)*Control!$B$14))*INDEX(TrackMap!$M$8:$M$141,MOD(INT(D1328)-1,Control!$B$7)+1)*IF(E1328="BOOST",Control!$B$12,1)))</x:f>
        <x:v>0</x:v>
      </x:c>
      <x:c r="G1328" s="83" t="n">
        <x:f>IF(A1328=0,D1328,MIN(Control!$B$17,D1328+F1328))</x:f>
        <x:v>670</x:v>
      </x:c>
      <x:c r="H1328" s="73" t="n">
        <x:f>MOD(INT(G1328)-1,Control!$B$7)+1</x:f>
        <x:v>134</x:v>
      </x:c>
      <x:c r="I1328" s="73" t="n">
        <x:f>MIN(Control!$B$6,MAX(1,INT(MAX(0,G1328)/Control!$B$7)+1))</x:f>
        <x:v>5</x:v>
      </x:c>
      <x:c r="J1328" s="73" t="n">
        <x:f>INDEX(Drivers!$H$8:$H$13,B1328)</x:f>
        <x:v>1</x:v>
      </x:c>
      <x:c r="K1328" s="73" t="n">
        <x:f>IF(J1328=1,INDEX(TrackMap!$I$8:$I$141,H1328),INDEX(TrackMap!$L$8:$L$141,H1328))</x:f>
        <x:v>3117</x:v>
      </x:c>
      <x:c r="L1328" s="73" t="str">
        <x:f>INDEX(TrackMap!$F$8:$F$141,H1328)</x:f>
        <x:v>←</x:v>
      </x:c>
      <x:c r="M1328" s="87" t="n">
        <x:f>MAX(0,G1328/Control!$B$17)</x:f>
        <x:v>1</x:v>
      </x:c>
      <x:c r="N1328" s="73" t="n">
        <x:f>IF(N1322&gt;0,N1322,IF(G1328&gt;=Control!$B$17,A1328,0))</x:f>
        <x:v>194</x:v>
      </x:c>
      <x:c r="O1328" s="91" t="n">
        <x:f>IF(N1328&gt;0,Control!$B$17+Control!$B$8+1-N1328,G1328)-B1328/100000</x:f>
        <x:v>716.99999</x:v>
      </x:c>
      <x:c r="P1328" s="73" t="n">
        <x:f>COUNTIF($O$1328:$O$1333,"&gt;"&amp;O1328)+1</x:f>
        <x:v>1</x:v>
      </x:c>
      <x:c r="Q1328" s="83" t="n">
        <x:f>MAX($G$1328:$G$1333)-G1328</x:f>
        <x:v>0</x:v>
      </x:c>
      <x:c r="R1328" s="73" t="str">
        <x:f>INDEX(TrackMap!$B$8:$B$141,H1328)</x:f>
        <x:v>发车大直道</x:v>
      </x:c>
    </x:row>
    <x:row r="1329" ht="20" customHeight="1">
      <x:c r="A1329" s="73" t="n">
        <x:v>220</x:v>
      </x:c>
      <x:c r="B1329" s="73" t="n">
        <x:v>2</x:v>
      </x:c>
      <x:c r="C1329" s="73" t="str">
        <x:f>INDEX(Drivers!$B$8:$B$13,B1329)</x:f>
        <x:v>蓝电</x:v>
      </x:c>
      <x:c r="D1329" s="83" t="n">
        <x:f>G1323</x:f>
        <x:v>670</x:v>
      </x:c>
      <x:c r="E1329" s="83" t="str">
        <x:f>IF(A1329=0,"GRID",IF(D1329&gt;=Control!$B$17,"FINISHED",IF(AND(A1329&gt;=INDEX(Drivers!$G$8:$G$13,B1329),A1329&lt;INDEX(Drivers!$G$8:$G$13,B1329)+INDEX(Drivers!$J$8:$J$13,B1329)),"PIT",IF(MOD(A1329+INDEX(Drivers!$F$8:$F$13,B1329),Control!$B$11)&lt;Control!$B$13,"BOOST","RACE"))))</x:f>
        <x:v>FINISHED</x:v>
      </x:c>
      <x:c r="F1329" s="83" t="n">
        <x:f>IF(OR(E1329="GRID",E1329="FINISHED",E1329="PIT"),0,MAX(Control!$B$15,(INDEX(Drivers!$D$8:$D$13,B1329)+INDEX(Drivers!$E$8:$E$13,B1329)*SIN((A1329+INDEX(Drivers!$F$8:$F$13,B1329)+Control!$B$16)*Control!$B$14))*INDEX(TrackMap!$M$8:$M$141,MOD(INT(D1329)-1,Control!$B$7)+1)*IF(E1329="BOOST",Control!$B$12,1)))</x:f>
        <x:v>0</x:v>
      </x:c>
      <x:c r="G1329" s="83" t="n">
        <x:f>IF(A1329=0,D1329,MIN(Control!$B$17,D1329+F1329))</x:f>
        <x:v>670</x:v>
      </x:c>
      <x:c r="H1329" s="73" t="n">
        <x:f>MOD(INT(G1329)-1,Control!$B$7)+1</x:f>
        <x:v>134</x:v>
      </x:c>
      <x:c r="I1329" s="73" t="n">
        <x:f>MIN(Control!$B$6,MAX(1,INT(MAX(0,G1329)/Control!$B$7)+1))</x:f>
        <x:v>5</x:v>
      </x:c>
      <x:c r="J1329" s="73" t="n">
        <x:f>INDEX(Drivers!$H$8:$H$13,B1329)</x:f>
        <x:v>2</x:v>
      </x:c>
      <x:c r="K1329" s="73" t="n">
        <x:f>IF(J1329=1,INDEX(TrackMap!$I$8:$I$141,H1329),INDEX(TrackMap!$L$8:$L$141,H1329))</x:f>
        <x:v>3017</x:v>
      </x:c>
      <x:c r="L1329" s="73" t="str">
        <x:f>INDEX(TrackMap!$F$8:$F$141,H1329)</x:f>
        <x:v>←</x:v>
      </x:c>
      <x:c r="M1329" s="87" t="n">
        <x:f>MAX(0,G1329/Control!$B$17)</x:f>
        <x:v>1</x:v>
      </x:c>
      <x:c r="N1329" s="73" t="n">
        <x:f>IF(N1323&gt;0,N1323,IF(G1329&gt;=Control!$B$17,A1329,0))</x:f>
        <x:v>201</x:v>
      </x:c>
      <x:c r="O1329" s="91" t="n">
        <x:f>IF(N1329&gt;0,Control!$B$17+Control!$B$8+1-N1329,G1329)-B1329/100000</x:f>
        <x:v>709.99998</x:v>
      </x:c>
      <x:c r="P1329" s="73" t="n">
        <x:f>COUNTIF($O$1328:$O$1333,"&gt;"&amp;O1329)+1</x:f>
        <x:v>6</x:v>
      </x:c>
      <x:c r="Q1329" s="83" t="n">
        <x:f>MAX($G$1328:$G$1333)-G1329</x:f>
        <x:v>0</x:v>
      </x:c>
      <x:c r="R1329" s="73" t="str">
        <x:f>INDEX(TrackMap!$B$8:$B$141,H1329)</x:f>
        <x:v>发车大直道</x:v>
      </x:c>
    </x:row>
    <x:row r="1330" ht="20" customHeight="1">
      <x:c r="A1330" s="73" t="n">
        <x:v>220</x:v>
      </x:c>
      <x:c r="B1330" s="73" t="n">
        <x:v>3</x:v>
      </x:c>
      <x:c r="C1330" s="73" t="str">
        <x:f>INDEX(Drivers!$B$8:$B$13,B1330)</x:f>
        <x:v>金翼</x:v>
      </x:c>
      <x:c r="D1330" s="83" t="n">
        <x:f>G1324</x:f>
        <x:v>670</x:v>
      </x:c>
      <x:c r="E1330" s="83" t="str">
        <x:f>IF(A1330=0,"GRID",IF(D1330&gt;=Control!$B$17,"FINISHED",IF(AND(A1330&gt;=INDEX(Drivers!$G$8:$G$13,B1330),A1330&lt;INDEX(Drivers!$G$8:$G$13,B1330)+INDEX(Drivers!$J$8:$J$13,B1330)),"PIT",IF(MOD(A1330+INDEX(Drivers!$F$8:$F$13,B1330),Control!$B$11)&lt;Control!$B$13,"BOOST","RACE"))))</x:f>
        <x:v>FINISHED</x:v>
      </x:c>
      <x:c r="F1330" s="83" t="n">
        <x:f>IF(OR(E1330="GRID",E1330="FINISHED",E1330="PIT"),0,MAX(Control!$B$15,(INDEX(Drivers!$D$8:$D$13,B1330)+INDEX(Drivers!$E$8:$E$13,B1330)*SIN((A1330+INDEX(Drivers!$F$8:$F$13,B1330)+Control!$B$16)*Control!$B$14))*INDEX(TrackMap!$M$8:$M$141,MOD(INT(D1330)-1,Control!$B$7)+1)*IF(E1330="BOOST",Control!$B$12,1)))</x:f>
        <x:v>0</x:v>
      </x:c>
      <x:c r="G1330" s="83" t="n">
        <x:f>IF(A1330=0,D1330,MIN(Control!$B$17,D1330+F1330))</x:f>
        <x:v>670</x:v>
      </x:c>
      <x:c r="H1330" s="73" t="n">
        <x:f>MOD(INT(G1330)-1,Control!$B$7)+1</x:f>
        <x:v>134</x:v>
      </x:c>
      <x:c r="I1330" s="73" t="n">
        <x:f>MIN(Control!$B$6,MAX(1,INT(MAX(0,G1330)/Control!$B$7)+1))</x:f>
        <x:v>5</x:v>
      </x:c>
      <x:c r="J1330" s="73" t="n">
        <x:f>INDEX(Drivers!$H$8:$H$13,B1330)</x:f>
        <x:v>1</x:v>
      </x:c>
      <x:c r="K1330" s="73" t="n">
        <x:f>IF(J1330=1,INDEX(TrackMap!$I$8:$I$141,H1330),INDEX(TrackMap!$L$8:$L$141,H1330))</x:f>
        <x:v>3117</x:v>
      </x:c>
      <x:c r="L1330" s="73" t="str">
        <x:f>INDEX(TrackMap!$F$8:$F$141,H1330)</x:f>
        <x:v>←</x:v>
      </x:c>
      <x:c r="M1330" s="87" t="n">
        <x:f>MAX(0,G1330/Control!$B$17)</x:f>
        <x:v>1</x:v>
      </x:c>
      <x:c r="N1330" s="73" t="n">
        <x:f>IF(N1324&gt;0,N1324,IF(G1330&gt;=Control!$B$17,A1330,0))</x:f>
        <x:v>195</x:v>
      </x:c>
      <x:c r="O1330" s="91" t="n">
        <x:f>IF(N1330&gt;0,Control!$B$17+Control!$B$8+1-N1330,G1330)-B1330/100000</x:f>
        <x:v>715.99997</x:v>
      </x:c>
      <x:c r="P1330" s="73" t="n">
        <x:f>COUNTIF($O$1328:$O$1333,"&gt;"&amp;O1330)+1</x:f>
        <x:v>2</x:v>
      </x:c>
      <x:c r="Q1330" s="83" t="n">
        <x:f>MAX($G$1328:$G$1333)-G1330</x:f>
        <x:v>0</x:v>
      </x:c>
      <x:c r="R1330" s="73" t="str">
        <x:f>INDEX(TrackMap!$B$8:$B$141,H1330)</x:f>
        <x:v>发车大直道</x:v>
      </x:c>
    </x:row>
    <x:row r="1331" ht="20" customHeight="1">
      <x:c r="A1331" s="73" t="n">
        <x:v>220</x:v>
      </x:c>
      <x:c r="B1331" s="73" t="n">
        <x:v>4</x:v>
      </x:c>
      <x:c r="C1331" s="73" t="str">
        <x:f>INDEX(Drivers!$B$8:$B$13,B1331)</x:f>
        <x:v>紫影</x:v>
      </x:c>
      <x:c r="D1331" s="83" t="n">
        <x:f>G1325</x:f>
        <x:v>670</x:v>
      </x:c>
      <x:c r="E1331" s="83" t="str">
        <x:f>IF(A1331=0,"GRID",IF(D1331&gt;=Control!$B$17,"FINISHED",IF(AND(A1331&gt;=INDEX(Drivers!$G$8:$G$13,B1331),A1331&lt;INDEX(Drivers!$G$8:$G$13,B1331)+INDEX(Drivers!$J$8:$J$13,B1331)),"PIT",IF(MOD(A1331+INDEX(Drivers!$F$8:$F$13,B1331),Control!$B$11)&lt;Control!$B$13,"BOOST","RACE"))))</x:f>
        <x:v>FINISHED</x:v>
      </x:c>
      <x:c r="F1331" s="83" t="n">
        <x:f>IF(OR(E1331="GRID",E1331="FINISHED",E1331="PIT"),0,MAX(Control!$B$15,(INDEX(Drivers!$D$8:$D$13,B1331)+INDEX(Drivers!$E$8:$E$13,B1331)*SIN((A1331+INDEX(Drivers!$F$8:$F$13,B1331)+Control!$B$16)*Control!$B$14))*INDEX(TrackMap!$M$8:$M$141,MOD(INT(D1331)-1,Control!$B$7)+1)*IF(E1331="BOOST",Control!$B$12,1)))</x:f>
        <x:v>0</x:v>
      </x:c>
      <x:c r="G1331" s="83" t="n">
        <x:f>IF(A1331=0,D1331,MIN(Control!$B$17,D1331+F1331))</x:f>
        <x:v>670</x:v>
      </x:c>
      <x:c r="H1331" s="73" t="n">
        <x:f>MOD(INT(G1331)-1,Control!$B$7)+1</x:f>
        <x:v>134</x:v>
      </x:c>
      <x:c r="I1331" s="73" t="n">
        <x:f>MIN(Control!$B$6,MAX(1,INT(MAX(0,G1331)/Control!$B$7)+1))</x:f>
        <x:v>5</x:v>
      </x:c>
      <x:c r="J1331" s="73" t="n">
        <x:f>INDEX(Drivers!$H$8:$H$13,B1331)</x:f>
        <x:v>2</x:v>
      </x:c>
      <x:c r="K1331" s="73" t="n">
        <x:f>IF(J1331=1,INDEX(TrackMap!$I$8:$I$141,H1331),INDEX(TrackMap!$L$8:$L$141,H1331))</x:f>
        <x:v>3017</x:v>
      </x:c>
      <x:c r="L1331" s="73" t="str">
        <x:f>INDEX(TrackMap!$F$8:$F$141,H1331)</x:f>
        <x:v>←</x:v>
      </x:c>
      <x:c r="M1331" s="87" t="n">
        <x:f>MAX(0,G1331/Control!$B$17)</x:f>
        <x:v>1</x:v>
      </x:c>
      <x:c r="N1331" s="73" t="n">
        <x:f>IF(N1325&gt;0,N1325,IF(G1331&gt;=Control!$B$17,A1331,0))</x:f>
        <x:v>198</x:v>
      </x:c>
      <x:c r="O1331" s="91" t="n">
        <x:f>IF(N1331&gt;0,Control!$B$17+Control!$B$8+1-N1331,G1331)-B1331/100000</x:f>
        <x:v>712.99996</x:v>
      </x:c>
      <x:c r="P1331" s="73" t="n">
        <x:f>COUNTIF($O$1328:$O$1333,"&gt;"&amp;O1331)+1</x:f>
        <x:v>5</x:v>
      </x:c>
      <x:c r="Q1331" s="83" t="n">
        <x:f>MAX($G$1328:$G$1333)-G1331</x:f>
        <x:v>0</x:v>
      </x:c>
      <x:c r="R1331" s="73" t="str">
        <x:f>INDEX(TrackMap!$B$8:$B$141,H1331)</x:f>
        <x:v>发车大直道</x:v>
      </x:c>
    </x:row>
    <x:row r="1332" ht="20" customHeight="1">
      <x:c r="A1332" s="73" t="n">
        <x:v>220</x:v>
      </x:c>
      <x:c r="B1332" s="73" t="n">
        <x:v>5</x:v>
      </x:c>
      <x:c r="C1332" s="73" t="str">
        <x:f>INDEX(Drivers!$B$8:$B$13,B1332)</x:f>
        <x:v>青锋</x:v>
      </x:c>
      <x:c r="D1332" s="83" t="n">
        <x:f>G1326</x:f>
        <x:v>670</x:v>
      </x:c>
      <x:c r="E1332" s="83" t="str">
        <x:f>IF(A1332=0,"GRID",IF(D1332&gt;=Control!$B$17,"FINISHED",IF(AND(A1332&gt;=INDEX(Drivers!$G$8:$G$13,B1332),A1332&lt;INDEX(Drivers!$G$8:$G$13,B1332)+INDEX(Drivers!$J$8:$J$13,B1332)),"PIT",IF(MOD(A1332+INDEX(Drivers!$F$8:$F$13,B1332),Control!$B$11)&lt;Control!$B$13,"BOOST","RACE"))))</x:f>
        <x:v>FINISHED</x:v>
      </x:c>
      <x:c r="F1332" s="83" t="n">
        <x:f>IF(OR(E1332="GRID",E1332="FINISHED",E1332="PIT"),0,MAX(Control!$B$15,(INDEX(Drivers!$D$8:$D$13,B1332)+INDEX(Drivers!$E$8:$E$13,B1332)*SIN((A1332+INDEX(Drivers!$F$8:$F$13,B1332)+Control!$B$16)*Control!$B$14))*INDEX(TrackMap!$M$8:$M$141,MOD(INT(D1332)-1,Control!$B$7)+1)*IF(E1332="BOOST",Control!$B$12,1)))</x:f>
        <x:v>0</x:v>
      </x:c>
      <x:c r="G1332" s="83" t="n">
        <x:f>IF(A1332=0,D1332,MIN(Control!$B$17,D1332+F1332))</x:f>
        <x:v>670</x:v>
      </x:c>
      <x:c r="H1332" s="73" t="n">
        <x:f>MOD(INT(G1332)-1,Control!$B$7)+1</x:f>
        <x:v>134</x:v>
      </x:c>
      <x:c r="I1332" s="73" t="n">
        <x:f>MIN(Control!$B$6,MAX(1,INT(MAX(0,G1332)/Control!$B$7)+1))</x:f>
        <x:v>5</x:v>
      </x:c>
      <x:c r="J1332" s="73" t="n">
        <x:f>INDEX(Drivers!$H$8:$H$13,B1332)</x:f>
        <x:v>1</x:v>
      </x:c>
      <x:c r="K1332" s="73" t="n">
        <x:f>IF(J1332=1,INDEX(TrackMap!$I$8:$I$141,H1332),INDEX(TrackMap!$L$8:$L$141,H1332))</x:f>
        <x:v>3117</x:v>
      </x:c>
      <x:c r="L1332" s="73" t="str">
        <x:f>INDEX(TrackMap!$F$8:$F$141,H1332)</x:f>
        <x:v>←</x:v>
      </x:c>
      <x:c r="M1332" s="87" t="n">
        <x:f>MAX(0,G1332/Control!$B$17)</x:f>
        <x:v>1</x:v>
      </x:c>
      <x:c r="N1332" s="73" t="n">
        <x:f>IF(N1326&gt;0,N1326,IF(G1332&gt;=Control!$B$17,A1332,0))</x:f>
        <x:v>195</x:v>
      </x:c>
      <x:c r="O1332" s="91" t="n">
        <x:f>IF(N1332&gt;0,Control!$B$17+Control!$B$8+1-N1332,G1332)-B1332/100000</x:f>
        <x:v>715.99995</x:v>
      </x:c>
      <x:c r="P1332" s="73" t="n">
        <x:f>COUNTIF($O$1328:$O$1333,"&gt;"&amp;O1332)+1</x:f>
        <x:v>3</x:v>
      </x:c>
      <x:c r="Q1332" s="83" t="n">
        <x:f>MAX($G$1328:$G$1333)-G1332</x:f>
        <x:v>0</x:v>
      </x:c>
      <x:c r="R1332" s="73" t="str">
        <x:f>INDEX(TrackMap!$B$8:$B$141,H1332)</x:f>
        <x:v>发车大直道</x:v>
      </x:c>
    </x:row>
    <x:row r="1333" ht="20" customHeight="1">
      <x:c r="A1333" s="73" t="n">
        <x:v>220</x:v>
      </x:c>
      <x:c r="B1333" s="73" t="n">
        <x:v>6</x:v>
      </x:c>
      <x:c r="C1333" s="73" t="str">
        <x:f>INDEX(Drivers!$B$8:$B$13,B1333)</x:f>
        <x:v>玫速</x:v>
      </x:c>
      <x:c r="D1333" s="83" t="n">
        <x:f>G1327</x:f>
        <x:v>670</x:v>
      </x:c>
      <x:c r="E1333" s="83" t="str">
        <x:f>IF(A1333=0,"GRID",IF(D1333&gt;=Control!$B$17,"FINISHED",IF(AND(A1333&gt;=INDEX(Drivers!$G$8:$G$13,B1333),A1333&lt;INDEX(Drivers!$G$8:$G$13,B1333)+INDEX(Drivers!$J$8:$J$13,B1333)),"PIT",IF(MOD(A1333+INDEX(Drivers!$F$8:$F$13,B1333),Control!$B$11)&lt;Control!$B$13,"BOOST","RACE"))))</x:f>
        <x:v>FINISHED</x:v>
      </x:c>
      <x:c r="F1333" s="83" t="n">
        <x:f>IF(OR(E1333="GRID",E1333="FINISHED",E1333="PIT"),0,MAX(Control!$B$15,(INDEX(Drivers!$D$8:$D$13,B1333)+INDEX(Drivers!$E$8:$E$13,B1333)*SIN((A1333+INDEX(Drivers!$F$8:$F$13,B1333)+Control!$B$16)*Control!$B$14))*INDEX(TrackMap!$M$8:$M$141,MOD(INT(D1333)-1,Control!$B$7)+1)*IF(E1333="BOOST",Control!$B$12,1)))</x:f>
        <x:v>0</x:v>
      </x:c>
      <x:c r="G1333" s="83" t="n">
        <x:f>IF(A1333=0,D1333,MIN(Control!$B$17,D1333+F1333))</x:f>
        <x:v>670</x:v>
      </x:c>
      <x:c r="H1333" s="73" t="n">
        <x:f>MOD(INT(G1333)-1,Control!$B$7)+1</x:f>
        <x:v>134</x:v>
      </x:c>
      <x:c r="I1333" s="73" t="n">
        <x:f>MIN(Control!$B$6,MAX(1,INT(MAX(0,G1333)/Control!$B$7)+1))</x:f>
        <x:v>5</x:v>
      </x:c>
      <x:c r="J1333" s="73" t="n">
        <x:f>INDEX(Drivers!$H$8:$H$13,B1333)</x:f>
        <x:v>2</x:v>
      </x:c>
      <x:c r="K1333" s="73" t="n">
        <x:f>IF(J1333=1,INDEX(TrackMap!$I$8:$I$141,H1333),INDEX(TrackMap!$L$8:$L$141,H1333))</x:f>
        <x:v>3017</x:v>
      </x:c>
      <x:c r="L1333" s="73" t="str">
        <x:f>INDEX(TrackMap!$F$8:$F$141,H1333)</x:f>
        <x:v>←</x:v>
      </x:c>
      <x:c r="M1333" s="87" t="n">
        <x:f>MAX(0,G1333/Control!$B$17)</x:f>
        <x:v>1</x:v>
      </x:c>
      <x:c r="N1333" s="73" t="n">
        <x:f>IF(N1327&gt;0,N1327,IF(G1333&gt;=Control!$B$17,A1333,0))</x:f>
        <x:v>196</x:v>
      </x:c>
      <x:c r="O1333" s="91" t="n">
        <x:f>IF(N1333&gt;0,Control!$B$17+Control!$B$8+1-N1333,G1333)-B1333/100000</x:f>
        <x:v>714.99994</x:v>
      </x:c>
      <x:c r="P1333" s="73" t="n">
        <x:f>COUNTIF($O$1328:$O$1333,"&gt;"&amp;O1333)+1</x:f>
        <x:v>4</x:v>
      </x:c>
      <x:c r="Q1333" s="83" t="n">
        <x:f>MAX($G$1328:$G$1333)-G1333</x:f>
        <x:v>0</x:v>
      </x:c>
      <x:c r="R1333" s="73" t="str">
        <x:f>INDEX(TrackMap!$B$8:$B$141,H1333)</x:f>
        <x:v>发车大直道</x:v>
      </x:c>
    </x:row>
    <x:row r="1334" ht="20" customHeight="1">
      <x:c r="A1334" s="73" t="n">
        <x:v>221</x:v>
      </x:c>
      <x:c r="B1334" s="73" t="n">
        <x:v>1</x:v>
      </x:c>
      <x:c r="C1334" s="73" t="str">
        <x:f>INDEX(Drivers!$B$8:$B$13,B1334)</x:f>
        <x:v>赤焰</x:v>
      </x:c>
      <x:c r="D1334" s="83" t="n">
        <x:f>G1328</x:f>
        <x:v>670</x:v>
      </x:c>
      <x:c r="E1334" s="83" t="str">
        <x:f>IF(A1334=0,"GRID",IF(D1334&gt;=Control!$B$17,"FINISHED",IF(AND(A1334&gt;=INDEX(Drivers!$G$8:$G$13,B1334),A1334&lt;INDEX(Drivers!$G$8:$G$13,B1334)+INDEX(Drivers!$J$8:$J$13,B1334)),"PIT",IF(MOD(A1334+INDEX(Drivers!$F$8:$F$13,B1334),Control!$B$11)&lt;Control!$B$13,"BOOST","RACE"))))</x:f>
        <x:v>FINISHED</x:v>
      </x:c>
      <x:c r="F1334" s="83" t="n">
        <x:f>IF(OR(E1334="GRID",E1334="FINISHED",E1334="PIT"),0,MAX(Control!$B$15,(INDEX(Drivers!$D$8:$D$13,B1334)+INDEX(Drivers!$E$8:$E$13,B1334)*SIN((A1334+INDEX(Drivers!$F$8:$F$13,B1334)+Control!$B$16)*Control!$B$14))*INDEX(TrackMap!$M$8:$M$141,MOD(INT(D1334)-1,Control!$B$7)+1)*IF(E1334="BOOST",Control!$B$12,1)))</x:f>
        <x:v>0</x:v>
      </x:c>
      <x:c r="G1334" s="83" t="n">
        <x:f>IF(A1334=0,D1334,MIN(Control!$B$17,D1334+F1334))</x:f>
        <x:v>670</x:v>
      </x:c>
      <x:c r="H1334" s="73" t="n">
        <x:f>MOD(INT(G1334)-1,Control!$B$7)+1</x:f>
        <x:v>134</x:v>
      </x:c>
      <x:c r="I1334" s="73" t="n">
        <x:f>MIN(Control!$B$6,MAX(1,INT(MAX(0,G1334)/Control!$B$7)+1))</x:f>
        <x:v>5</x:v>
      </x:c>
      <x:c r="J1334" s="73" t="n">
        <x:f>INDEX(Drivers!$H$8:$H$13,B1334)</x:f>
        <x:v>1</x:v>
      </x:c>
      <x:c r="K1334" s="73" t="n">
        <x:f>IF(J1334=1,INDEX(TrackMap!$I$8:$I$141,H1334),INDEX(TrackMap!$L$8:$L$141,H1334))</x:f>
        <x:v>3117</x:v>
      </x:c>
      <x:c r="L1334" s="73" t="str">
        <x:f>INDEX(TrackMap!$F$8:$F$141,H1334)</x:f>
        <x:v>←</x:v>
      </x:c>
      <x:c r="M1334" s="87" t="n">
        <x:f>MAX(0,G1334/Control!$B$17)</x:f>
        <x:v>1</x:v>
      </x:c>
      <x:c r="N1334" s="73" t="n">
        <x:f>IF(N1328&gt;0,N1328,IF(G1334&gt;=Control!$B$17,A1334,0))</x:f>
        <x:v>194</x:v>
      </x:c>
      <x:c r="O1334" s="91" t="n">
        <x:f>IF(N1334&gt;0,Control!$B$17+Control!$B$8+1-N1334,G1334)-B1334/100000</x:f>
        <x:v>716.99999</x:v>
      </x:c>
      <x:c r="P1334" s="73" t="n">
        <x:f>COUNTIF($O$1334:$O$1339,"&gt;"&amp;O1334)+1</x:f>
        <x:v>1</x:v>
      </x:c>
      <x:c r="Q1334" s="83" t="n">
        <x:f>MAX($G$1334:$G$1339)-G1334</x:f>
        <x:v>0</x:v>
      </x:c>
      <x:c r="R1334" s="73" t="str">
        <x:f>INDEX(TrackMap!$B$8:$B$141,H1334)</x:f>
        <x:v>发车大直道</x:v>
      </x:c>
    </x:row>
    <x:row r="1335" ht="20" customHeight="1">
      <x:c r="A1335" s="73" t="n">
        <x:v>221</x:v>
      </x:c>
      <x:c r="B1335" s="73" t="n">
        <x:v>2</x:v>
      </x:c>
      <x:c r="C1335" s="73" t="str">
        <x:f>INDEX(Drivers!$B$8:$B$13,B1335)</x:f>
        <x:v>蓝电</x:v>
      </x:c>
      <x:c r="D1335" s="83" t="n">
        <x:f>G1329</x:f>
        <x:v>670</x:v>
      </x:c>
      <x:c r="E1335" s="83" t="str">
        <x:f>IF(A1335=0,"GRID",IF(D1335&gt;=Control!$B$17,"FINISHED",IF(AND(A1335&gt;=INDEX(Drivers!$G$8:$G$13,B1335),A1335&lt;INDEX(Drivers!$G$8:$G$13,B1335)+INDEX(Drivers!$J$8:$J$13,B1335)),"PIT",IF(MOD(A1335+INDEX(Drivers!$F$8:$F$13,B1335),Control!$B$11)&lt;Control!$B$13,"BOOST","RACE"))))</x:f>
        <x:v>FINISHED</x:v>
      </x:c>
      <x:c r="F1335" s="83" t="n">
        <x:f>IF(OR(E1335="GRID",E1335="FINISHED",E1335="PIT"),0,MAX(Control!$B$15,(INDEX(Drivers!$D$8:$D$13,B1335)+INDEX(Drivers!$E$8:$E$13,B1335)*SIN((A1335+INDEX(Drivers!$F$8:$F$13,B1335)+Control!$B$16)*Control!$B$14))*INDEX(TrackMap!$M$8:$M$141,MOD(INT(D1335)-1,Control!$B$7)+1)*IF(E1335="BOOST",Control!$B$12,1)))</x:f>
        <x:v>0</x:v>
      </x:c>
      <x:c r="G1335" s="83" t="n">
        <x:f>IF(A1335=0,D1335,MIN(Control!$B$17,D1335+F1335))</x:f>
        <x:v>670</x:v>
      </x:c>
      <x:c r="H1335" s="73" t="n">
        <x:f>MOD(INT(G1335)-1,Control!$B$7)+1</x:f>
        <x:v>134</x:v>
      </x:c>
      <x:c r="I1335" s="73" t="n">
        <x:f>MIN(Control!$B$6,MAX(1,INT(MAX(0,G1335)/Control!$B$7)+1))</x:f>
        <x:v>5</x:v>
      </x:c>
      <x:c r="J1335" s="73" t="n">
        <x:f>INDEX(Drivers!$H$8:$H$13,B1335)</x:f>
        <x:v>2</x:v>
      </x:c>
      <x:c r="K1335" s="73" t="n">
        <x:f>IF(J1335=1,INDEX(TrackMap!$I$8:$I$141,H1335),INDEX(TrackMap!$L$8:$L$141,H1335))</x:f>
        <x:v>3017</x:v>
      </x:c>
      <x:c r="L1335" s="73" t="str">
        <x:f>INDEX(TrackMap!$F$8:$F$141,H1335)</x:f>
        <x:v>←</x:v>
      </x:c>
      <x:c r="M1335" s="87" t="n">
        <x:f>MAX(0,G1335/Control!$B$17)</x:f>
        <x:v>1</x:v>
      </x:c>
      <x:c r="N1335" s="73" t="n">
        <x:f>IF(N1329&gt;0,N1329,IF(G1335&gt;=Control!$B$17,A1335,0))</x:f>
        <x:v>201</x:v>
      </x:c>
      <x:c r="O1335" s="91" t="n">
        <x:f>IF(N1335&gt;0,Control!$B$17+Control!$B$8+1-N1335,G1335)-B1335/100000</x:f>
        <x:v>709.99998</x:v>
      </x:c>
      <x:c r="P1335" s="73" t="n">
        <x:f>COUNTIF($O$1334:$O$1339,"&gt;"&amp;O1335)+1</x:f>
        <x:v>6</x:v>
      </x:c>
      <x:c r="Q1335" s="83" t="n">
        <x:f>MAX($G$1334:$G$1339)-G1335</x:f>
        <x:v>0</x:v>
      </x:c>
      <x:c r="R1335" s="73" t="str">
        <x:f>INDEX(TrackMap!$B$8:$B$141,H1335)</x:f>
        <x:v>发车大直道</x:v>
      </x:c>
    </x:row>
    <x:row r="1336" ht="20" customHeight="1">
      <x:c r="A1336" s="73" t="n">
        <x:v>221</x:v>
      </x:c>
      <x:c r="B1336" s="73" t="n">
        <x:v>3</x:v>
      </x:c>
      <x:c r="C1336" s="73" t="str">
        <x:f>INDEX(Drivers!$B$8:$B$13,B1336)</x:f>
        <x:v>金翼</x:v>
      </x:c>
      <x:c r="D1336" s="83" t="n">
        <x:f>G1330</x:f>
        <x:v>670</x:v>
      </x:c>
      <x:c r="E1336" s="83" t="str">
        <x:f>IF(A1336=0,"GRID",IF(D1336&gt;=Control!$B$17,"FINISHED",IF(AND(A1336&gt;=INDEX(Drivers!$G$8:$G$13,B1336),A1336&lt;INDEX(Drivers!$G$8:$G$13,B1336)+INDEX(Drivers!$J$8:$J$13,B1336)),"PIT",IF(MOD(A1336+INDEX(Drivers!$F$8:$F$13,B1336),Control!$B$11)&lt;Control!$B$13,"BOOST","RACE"))))</x:f>
        <x:v>FINISHED</x:v>
      </x:c>
      <x:c r="F1336" s="83" t="n">
        <x:f>IF(OR(E1336="GRID",E1336="FINISHED",E1336="PIT"),0,MAX(Control!$B$15,(INDEX(Drivers!$D$8:$D$13,B1336)+INDEX(Drivers!$E$8:$E$13,B1336)*SIN((A1336+INDEX(Drivers!$F$8:$F$13,B1336)+Control!$B$16)*Control!$B$14))*INDEX(TrackMap!$M$8:$M$141,MOD(INT(D1336)-1,Control!$B$7)+1)*IF(E1336="BOOST",Control!$B$12,1)))</x:f>
        <x:v>0</x:v>
      </x:c>
      <x:c r="G1336" s="83" t="n">
        <x:f>IF(A1336=0,D1336,MIN(Control!$B$17,D1336+F1336))</x:f>
        <x:v>670</x:v>
      </x:c>
      <x:c r="H1336" s="73" t="n">
        <x:f>MOD(INT(G1336)-1,Control!$B$7)+1</x:f>
        <x:v>134</x:v>
      </x:c>
      <x:c r="I1336" s="73" t="n">
        <x:f>MIN(Control!$B$6,MAX(1,INT(MAX(0,G1336)/Control!$B$7)+1))</x:f>
        <x:v>5</x:v>
      </x:c>
      <x:c r="J1336" s="73" t="n">
        <x:f>INDEX(Drivers!$H$8:$H$13,B1336)</x:f>
        <x:v>1</x:v>
      </x:c>
      <x:c r="K1336" s="73" t="n">
        <x:f>IF(J1336=1,INDEX(TrackMap!$I$8:$I$141,H1336),INDEX(TrackMap!$L$8:$L$141,H1336))</x:f>
        <x:v>3117</x:v>
      </x:c>
      <x:c r="L1336" s="73" t="str">
        <x:f>INDEX(TrackMap!$F$8:$F$141,H1336)</x:f>
        <x:v>←</x:v>
      </x:c>
      <x:c r="M1336" s="87" t="n">
        <x:f>MAX(0,G1336/Control!$B$17)</x:f>
        <x:v>1</x:v>
      </x:c>
      <x:c r="N1336" s="73" t="n">
        <x:f>IF(N1330&gt;0,N1330,IF(G1336&gt;=Control!$B$17,A1336,0))</x:f>
        <x:v>195</x:v>
      </x:c>
      <x:c r="O1336" s="91" t="n">
        <x:f>IF(N1336&gt;0,Control!$B$17+Control!$B$8+1-N1336,G1336)-B1336/100000</x:f>
        <x:v>715.99997</x:v>
      </x:c>
      <x:c r="P1336" s="73" t="n">
        <x:f>COUNTIF($O$1334:$O$1339,"&gt;"&amp;O1336)+1</x:f>
        <x:v>2</x:v>
      </x:c>
      <x:c r="Q1336" s="83" t="n">
        <x:f>MAX($G$1334:$G$1339)-G1336</x:f>
        <x:v>0</x:v>
      </x:c>
      <x:c r="R1336" s="73" t="str">
        <x:f>INDEX(TrackMap!$B$8:$B$141,H1336)</x:f>
        <x:v>发车大直道</x:v>
      </x:c>
    </x:row>
    <x:row r="1337" ht="20" customHeight="1">
      <x:c r="A1337" s="73" t="n">
        <x:v>221</x:v>
      </x:c>
      <x:c r="B1337" s="73" t="n">
        <x:v>4</x:v>
      </x:c>
      <x:c r="C1337" s="73" t="str">
        <x:f>INDEX(Drivers!$B$8:$B$13,B1337)</x:f>
        <x:v>紫影</x:v>
      </x:c>
      <x:c r="D1337" s="83" t="n">
        <x:f>G1331</x:f>
        <x:v>670</x:v>
      </x:c>
      <x:c r="E1337" s="83" t="str">
        <x:f>IF(A1337=0,"GRID",IF(D1337&gt;=Control!$B$17,"FINISHED",IF(AND(A1337&gt;=INDEX(Drivers!$G$8:$G$13,B1337),A1337&lt;INDEX(Drivers!$G$8:$G$13,B1337)+INDEX(Drivers!$J$8:$J$13,B1337)),"PIT",IF(MOD(A1337+INDEX(Drivers!$F$8:$F$13,B1337),Control!$B$11)&lt;Control!$B$13,"BOOST","RACE"))))</x:f>
        <x:v>FINISHED</x:v>
      </x:c>
      <x:c r="F1337" s="83" t="n">
        <x:f>IF(OR(E1337="GRID",E1337="FINISHED",E1337="PIT"),0,MAX(Control!$B$15,(INDEX(Drivers!$D$8:$D$13,B1337)+INDEX(Drivers!$E$8:$E$13,B1337)*SIN((A1337+INDEX(Drivers!$F$8:$F$13,B1337)+Control!$B$16)*Control!$B$14))*INDEX(TrackMap!$M$8:$M$141,MOD(INT(D1337)-1,Control!$B$7)+1)*IF(E1337="BOOST",Control!$B$12,1)))</x:f>
        <x:v>0</x:v>
      </x:c>
      <x:c r="G1337" s="83" t="n">
        <x:f>IF(A1337=0,D1337,MIN(Control!$B$17,D1337+F1337))</x:f>
        <x:v>670</x:v>
      </x:c>
      <x:c r="H1337" s="73" t="n">
        <x:f>MOD(INT(G1337)-1,Control!$B$7)+1</x:f>
        <x:v>134</x:v>
      </x:c>
      <x:c r="I1337" s="73" t="n">
        <x:f>MIN(Control!$B$6,MAX(1,INT(MAX(0,G1337)/Control!$B$7)+1))</x:f>
        <x:v>5</x:v>
      </x:c>
      <x:c r="J1337" s="73" t="n">
        <x:f>INDEX(Drivers!$H$8:$H$13,B1337)</x:f>
        <x:v>2</x:v>
      </x:c>
      <x:c r="K1337" s="73" t="n">
        <x:f>IF(J1337=1,INDEX(TrackMap!$I$8:$I$141,H1337),INDEX(TrackMap!$L$8:$L$141,H1337))</x:f>
        <x:v>3017</x:v>
      </x:c>
      <x:c r="L1337" s="73" t="str">
        <x:f>INDEX(TrackMap!$F$8:$F$141,H1337)</x:f>
        <x:v>←</x:v>
      </x:c>
      <x:c r="M1337" s="87" t="n">
        <x:f>MAX(0,G1337/Control!$B$17)</x:f>
        <x:v>1</x:v>
      </x:c>
      <x:c r="N1337" s="73" t="n">
        <x:f>IF(N1331&gt;0,N1331,IF(G1337&gt;=Control!$B$17,A1337,0))</x:f>
        <x:v>198</x:v>
      </x:c>
      <x:c r="O1337" s="91" t="n">
        <x:f>IF(N1337&gt;0,Control!$B$17+Control!$B$8+1-N1337,G1337)-B1337/100000</x:f>
        <x:v>712.99996</x:v>
      </x:c>
      <x:c r="P1337" s="73" t="n">
        <x:f>COUNTIF($O$1334:$O$1339,"&gt;"&amp;O1337)+1</x:f>
        <x:v>5</x:v>
      </x:c>
      <x:c r="Q1337" s="83" t="n">
        <x:f>MAX($G$1334:$G$1339)-G1337</x:f>
        <x:v>0</x:v>
      </x:c>
      <x:c r="R1337" s="73" t="str">
        <x:f>INDEX(TrackMap!$B$8:$B$141,H1337)</x:f>
        <x:v>发车大直道</x:v>
      </x:c>
    </x:row>
    <x:row r="1338" ht="20" customHeight="1">
      <x:c r="A1338" s="73" t="n">
        <x:v>221</x:v>
      </x:c>
      <x:c r="B1338" s="73" t="n">
        <x:v>5</x:v>
      </x:c>
      <x:c r="C1338" s="73" t="str">
        <x:f>INDEX(Drivers!$B$8:$B$13,B1338)</x:f>
        <x:v>青锋</x:v>
      </x:c>
      <x:c r="D1338" s="83" t="n">
        <x:f>G1332</x:f>
        <x:v>670</x:v>
      </x:c>
      <x:c r="E1338" s="83" t="str">
        <x:f>IF(A1338=0,"GRID",IF(D1338&gt;=Control!$B$17,"FINISHED",IF(AND(A1338&gt;=INDEX(Drivers!$G$8:$G$13,B1338),A1338&lt;INDEX(Drivers!$G$8:$G$13,B1338)+INDEX(Drivers!$J$8:$J$13,B1338)),"PIT",IF(MOD(A1338+INDEX(Drivers!$F$8:$F$13,B1338),Control!$B$11)&lt;Control!$B$13,"BOOST","RACE"))))</x:f>
        <x:v>FINISHED</x:v>
      </x:c>
      <x:c r="F1338" s="83" t="n">
        <x:f>IF(OR(E1338="GRID",E1338="FINISHED",E1338="PIT"),0,MAX(Control!$B$15,(INDEX(Drivers!$D$8:$D$13,B1338)+INDEX(Drivers!$E$8:$E$13,B1338)*SIN((A1338+INDEX(Drivers!$F$8:$F$13,B1338)+Control!$B$16)*Control!$B$14))*INDEX(TrackMap!$M$8:$M$141,MOD(INT(D1338)-1,Control!$B$7)+1)*IF(E1338="BOOST",Control!$B$12,1)))</x:f>
        <x:v>0</x:v>
      </x:c>
      <x:c r="G1338" s="83" t="n">
        <x:f>IF(A1338=0,D1338,MIN(Control!$B$17,D1338+F1338))</x:f>
        <x:v>670</x:v>
      </x:c>
      <x:c r="H1338" s="73" t="n">
        <x:f>MOD(INT(G1338)-1,Control!$B$7)+1</x:f>
        <x:v>134</x:v>
      </x:c>
      <x:c r="I1338" s="73" t="n">
        <x:f>MIN(Control!$B$6,MAX(1,INT(MAX(0,G1338)/Control!$B$7)+1))</x:f>
        <x:v>5</x:v>
      </x:c>
      <x:c r="J1338" s="73" t="n">
        <x:f>INDEX(Drivers!$H$8:$H$13,B1338)</x:f>
        <x:v>1</x:v>
      </x:c>
      <x:c r="K1338" s="73" t="n">
        <x:f>IF(J1338=1,INDEX(TrackMap!$I$8:$I$141,H1338),INDEX(TrackMap!$L$8:$L$141,H1338))</x:f>
        <x:v>3117</x:v>
      </x:c>
      <x:c r="L1338" s="73" t="str">
        <x:f>INDEX(TrackMap!$F$8:$F$141,H1338)</x:f>
        <x:v>←</x:v>
      </x:c>
      <x:c r="M1338" s="87" t="n">
        <x:f>MAX(0,G1338/Control!$B$17)</x:f>
        <x:v>1</x:v>
      </x:c>
      <x:c r="N1338" s="73" t="n">
        <x:f>IF(N1332&gt;0,N1332,IF(G1338&gt;=Control!$B$17,A1338,0))</x:f>
        <x:v>195</x:v>
      </x:c>
      <x:c r="O1338" s="91" t="n">
        <x:f>IF(N1338&gt;0,Control!$B$17+Control!$B$8+1-N1338,G1338)-B1338/100000</x:f>
        <x:v>715.99995</x:v>
      </x:c>
      <x:c r="P1338" s="73" t="n">
        <x:f>COUNTIF($O$1334:$O$1339,"&gt;"&amp;O1338)+1</x:f>
        <x:v>3</x:v>
      </x:c>
      <x:c r="Q1338" s="83" t="n">
        <x:f>MAX($G$1334:$G$1339)-G1338</x:f>
        <x:v>0</x:v>
      </x:c>
      <x:c r="R1338" s="73" t="str">
        <x:f>INDEX(TrackMap!$B$8:$B$141,H1338)</x:f>
        <x:v>发车大直道</x:v>
      </x:c>
    </x:row>
    <x:row r="1339" ht="20" customHeight="1">
      <x:c r="A1339" s="73" t="n">
        <x:v>221</x:v>
      </x:c>
      <x:c r="B1339" s="73" t="n">
        <x:v>6</x:v>
      </x:c>
      <x:c r="C1339" s="73" t="str">
        <x:f>INDEX(Drivers!$B$8:$B$13,B1339)</x:f>
        <x:v>玫速</x:v>
      </x:c>
      <x:c r="D1339" s="83" t="n">
        <x:f>G1333</x:f>
        <x:v>670</x:v>
      </x:c>
      <x:c r="E1339" s="83" t="str">
        <x:f>IF(A1339=0,"GRID",IF(D1339&gt;=Control!$B$17,"FINISHED",IF(AND(A1339&gt;=INDEX(Drivers!$G$8:$G$13,B1339),A1339&lt;INDEX(Drivers!$G$8:$G$13,B1339)+INDEX(Drivers!$J$8:$J$13,B1339)),"PIT",IF(MOD(A1339+INDEX(Drivers!$F$8:$F$13,B1339),Control!$B$11)&lt;Control!$B$13,"BOOST","RACE"))))</x:f>
        <x:v>FINISHED</x:v>
      </x:c>
      <x:c r="F1339" s="83" t="n">
        <x:f>IF(OR(E1339="GRID",E1339="FINISHED",E1339="PIT"),0,MAX(Control!$B$15,(INDEX(Drivers!$D$8:$D$13,B1339)+INDEX(Drivers!$E$8:$E$13,B1339)*SIN((A1339+INDEX(Drivers!$F$8:$F$13,B1339)+Control!$B$16)*Control!$B$14))*INDEX(TrackMap!$M$8:$M$141,MOD(INT(D1339)-1,Control!$B$7)+1)*IF(E1339="BOOST",Control!$B$12,1)))</x:f>
        <x:v>0</x:v>
      </x:c>
      <x:c r="G1339" s="83" t="n">
        <x:f>IF(A1339=0,D1339,MIN(Control!$B$17,D1339+F1339))</x:f>
        <x:v>670</x:v>
      </x:c>
      <x:c r="H1339" s="73" t="n">
        <x:f>MOD(INT(G1339)-1,Control!$B$7)+1</x:f>
        <x:v>134</x:v>
      </x:c>
      <x:c r="I1339" s="73" t="n">
        <x:f>MIN(Control!$B$6,MAX(1,INT(MAX(0,G1339)/Control!$B$7)+1))</x:f>
        <x:v>5</x:v>
      </x:c>
      <x:c r="J1339" s="73" t="n">
        <x:f>INDEX(Drivers!$H$8:$H$13,B1339)</x:f>
        <x:v>2</x:v>
      </x:c>
      <x:c r="K1339" s="73" t="n">
        <x:f>IF(J1339=1,INDEX(TrackMap!$I$8:$I$141,H1339),INDEX(TrackMap!$L$8:$L$141,H1339))</x:f>
        <x:v>3017</x:v>
      </x:c>
      <x:c r="L1339" s="73" t="str">
        <x:f>INDEX(TrackMap!$F$8:$F$141,H1339)</x:f>
        <x:v>←</x:v>
      </x:c>
      <x:c r="M1339" s="87" t="n">
        <x:f>MAX(0,G1339/Control!$B$17)</x:f>
        <x:v>1</x:v>
      </x:c>
      <x:c r="N1339" s="73" t="n">
        <x:f>IF(N1333&gt;0,N1333,IF(G1339&gt;=Control!$B$17,A1339,0))</x:f>
        <x:v>196</x:v>
      </x:c>
      <x:c r="O1339" s="91" t="n">
        <x:f>IF(N1339&gt;0,Control!$B$17+Control!$B$8+1-N1339,G1339)-B1339/100000</x:f>
        <x:v>714.99994</x:v>
      </x:c>
      <x:c r="P1339" s="73" t="n">
        <x:f>COUNTIF($O$1334:$O$1339,"&gt;"&amp;O1339)+1</x:f>
        <x:v>4</x:v>
      </x:c>
      <x:c r="Q1339" s="83" t="n">
        <x:f>MAX($G$1334:$G$1339)-G1339</x:f>
        <x:v>0</x:v>
      </x:c>
      <x:c r="R1339" s="73" t="str">
        <x:f>INDEX(TrackMap!$B$8:$B$141,H1339)</x:f>
        <x:v>发车大直道</x:v>
      </x:c>
    </x:row>
    <x:row r="1340" ht="20" customHeight="1">
      <x:c r="A1340" s="73" t="n">
        <x:v>222</x:v>
      </x:c>
      <x:c r="B1340" s="73" t="n">
        <x:v>1</x:v>
      </x:c>
      <x:c r="C1340" s="73" t="str">
        <x:f>INDEX(Drivers!$B$8:$B$13,B1340)</x:f>
        <x:v>赤焰</x:v>
      </x:c>
      <x:c r="D1340" s="83" t="n">
        <x:f>G1334</x:f>
        <x:v>670</x:v>
      </x:c>
      <x:c r="E1340" s="83" t="str">
        <x:f>IF(A1340=0,"GRID",IF(D1340&gt;=Control!$B$17,"FINISHED",IF(AND(A1340&gt;=INDEX(Drivers!$G$8:$G$13,B1340),A1340&lt;INDEX(Drivers!$G$8:$G$13,B1340)+INDEX(Drivers!$J$8:$J$13,B1340)),"PIT",IF(MOD(A1340+INDEX(Drivers!$F$8:$F$13,B1340),Control!$B$11)&lt;Control!$B$13,"BOOST","RACE"))))</x:f>
        <x:v>FINISHED</x:v>
      </x:c>
      <x:c r="F1340" s="83" t="n">
        <x:f>IF(OR(E1340="GRID",E1340="FINISHED",E1340="PIT"),0,MAX(Control!$B$15,(INDEX(Drivers!$D$8:$D$13,B1340)+INDEX(Drivers!$E$8:$E$13,B1340)*SIN((A1340+INDEX(Drivers!$F$8:$F$13,B1340)+Control!$B$16)*Control!$B$14))*INDEX(TrackMap!$M$8:$M$141,MOD(INT(D1340)-1,Control!$B$7)+1)*IF(E1340="BOOST",Control!$B$12,1)))</x:f>
        <x:v>0</x:v>
      </x:c>
      <x:c r="G1340" s="83" t="n">
        <x:f>IF(A1340=0,D1340,MIN(Control!$B$17,D1340+F1340))</x:f>
        <x:v>670</x:v>
      </x:c>
      <x:c r="H1340" s="73" t="n">
        <x:f>MOD(INT(G1340)-1,Control!$B$7)+1</x:f>
        <x:v>134</x:v>
      </x:c>
      <x:c r="I1340" s="73" t="n">
        <x:f>MIN(Control!$B$6,MAX(1,INT(MAX(0,G1340)/Control!$B$7)+1))</x:f>
        <x:v>5</x:v>
      </x:c>
      <x:c r="J1340" s="73" t="n">
        <x:f>INDEX(Drivers!$H$8:$H$13,B1340)</x:f>
        <x:v>1</x:v>
      </x:c>
      <x:c r="K1340" s="73" t="n">
        <x:f>IF(J1340=1,INDEX(TrackMap!$I$8:$I$141,H1340),INDEX(TrackMap!$L$8:$L$141,H1340))</x:f>
        <x:v>3117</x:v>
      </x:c>
      <x:c r="L1340" s="73" t="str">
        <x:f>INDEX(TrackMap!$F$8:$F$141,H1340)</x:f>
        <x:v>←</x:v>
      </x:c>
      <x:c r="M1340" s="87" t="n">
        <x:f>MAX(0,G1340/Control!$B$17)</x:f>
        <x:v>1</x:v>
      </x:c>
      <x:c r="N1340" s="73" t="n">
        <x:f>IF(N1334&gt;0,N1334,IF(G1340&gt;=Control!$B$17,A1340,0))</x:f>
        <x:v>194</x:v>
      </x:c>
      <x:c r="O1340" s="91" t="n">
        <x:f>IF(N1340&gt;0,Control!$B$17+Control!$B$8+1-N1340,G1340)-B1340/100000</x:f>
        <x:v>716.99999</x:v>
      </x:c>
      <x:c r="P1340" s="73" t="n">
        <x:f>COUNTIF($O$1340:$O$1345,"&gt;"&amp;O1340)+1</x:f>
        <x:v>1</x:v>
      </x:c>
      <x:c r="Q1340" s="83" t="n">
        <x:f>MAX($G$1340:$G$1345)-G1340</x:f>
        <x:v>0</x:v>
      </x:c>
      <x:c r="R1340" s="73" t="str">
        <x:f>INDEX(TrackMap!$B$8:$B$141,H1340)</x:f>
        <x:v>发车大直道</x:v>
      </x:c>
    </x:row>
    <x:row r="1341" ht="20" customHeight="1">
      <x:c r="A1341" s="73" t="n">
        <x:v>222</x:v>
      </x:c>
      <x:c r="B1341" s="73" t="n">
        <x:v>2</x:v>
      </x:c>
      <x:c r="C1341" s="73" t="str">
        <x:f>INDEX(Drivers!$B$8:$B$13,B1341)</x:f>
        <x:v>蓝电</x:v>
      </x:c>
      <x:c r="D1341" s="83" t="n">
        <x:f>G1335</x:f>
        <x:v>670</x:v>
      </x:c>
      <x:c r="E1341" s="83" t="str">
        <x:f>IF(A1341=0,"GRID",IF(D1341&gt;=Control!$B$17,"FINISHED",IF(AND(A1341&gt;=INDEX(Drivers!$G$8:$G$13,B1341),A1341&lt;INDEX(Drivers!$G$8:$G$13,B1341)+INDEX(Drivers!$J$8:$J$13,B1341)),"PIT",IF(MOD(A1341+INDEX(Drivers!$F$8:$F$13,B1341),Control!$B$11)&lt;Control!$B$13,"BOOST","RACE"))))</x:f>
        <x:v>FINISHED</x:v>
      </x:c>
      <x:c r="F1341" s="83" t="n">
        <x:f>IF(OR(E1341="GRID",E1341="FINISHED",E1341="PIT"),0,MAX(Control!$B$15,(INDEX(Drivers!$D$8:$D$13,B1341)+INDEX(Drivers!$E$8:$E$13,B1341)*SIN((A1341+INDEX(Drivers!$F$8:$F$13,B1341)+Control!$B$16)*Control!$B$14))*INDEX(TrackMap!$M$8:$M$141,MOD(INT(D1341)-1,Control!$B$7)+1)*IF(E1341="BOOST",Control!$B$12,1)))</x:f>
        <x:v>0</x:v>
      </x:c>
      <x:c r="G1341" s="83" t="n">
        <x:f>IF(A1341=0,D1341,MIN(Control!$B$17,D1341+F1341))</x:f>
        <x:v>670</x:v>
      </x:c>
      <x:c r="H1341" s="73" t="n">
        <x:f>MOD(INT(G1341)-1,Control!$B$7)+1</x:f>
        <x:v>134</x:v>
      </x:c>
      <x:c r="I1341" s="73" t="n">
        <x:f>MIN(Control!$B$6,MAX(1,INT(MAX(0,G1341)/Control!$B$7)+1))</x:f>
        <x:v>5</x:v>
      </x:c>
      <x:c r="J1341" s="73" t="n">
        <x:f>INDEX(Drivers!$H$8:$H$13,B1341)</x:f>
        <x:v>2</x:v>
      </x:c>
      <x:c r="K1341" s="73" t="n">
        <x:f>IF(J1341=1,INDEX(TrackMap!$I$8:$I$141,H1341),INDEX(TrackMap!$L$8:$L$141,H1341))</x:f>
        <x:v>3017</x:v>
      </x:c>
      <x:c r="L1341" s="73" t="str">
        <x:f>INDEX(TrackMap!$F$8:$F$141,H1341)</x:f>
        <x:v>←</x:v>
      </x:c>
      <x:c r="M1341" s="87" t="n">
        <x:f>MAX(0,G1341/Control!$B$17)</x:f>
        <x:v>1</x:v>
      </x:c>
      <x:c r="N1341" s="73" t="n">
        <x:f>IF(N1335&gt;0,N1335,IF(G1341&gt;=Control!$B$17,A1341,0))</x:f>
        <x:v>201</x:v>
      </x:c>
      <x:c r="O1341" s="91" t="n">
        <x:f>IF(N1341&gt;0,Control!$B$17+Control!$B$8+1-N1341,G1341)-B1341/100000</x:f>
        <x:v>709.99998</x:v>
      </x:c>
      <x:c r="P1341" s="73" t="n">
        <x:f>COUNTIF($O$1340:$O$1345,"&gt;"&amp;O1341)+1</x:f>
        <x:v>6</x:v>
      </x:c>
      <x:c r="Q1341" s="83" t="n">
        <x:f>MAX($G$1340:$G$1345)-G1341</x:f>
        <x:v>0</x:v>
      </x:c>
      <x:c r="R1341" s="73" t="str">
        <x:f>INDEX(TrackMap!$B$8:$B$141,H1341)</x:f>
        <x:v>发车大直道</x:v>
      </x:c>
    </x:row>
    <x:row r="1342" ht="20" customHeight="1">
      <x:c r="A1342" s="73" t="n">
        <x:v>222</x:v>
      </x:c>
      <x:c r="B1342" s="73" t="n">
        <x:v>3</x:v>
      </x:c>
      <x:c r="C1342" s="73" t="str">
        <x:f>INDEX(Drivers!$B$8:$B$13,B1342)</x:f>
        <x:v>金翼</x:v>
      </x:c>
      <x:c r="D1342" s="83" t="n">
        <x:f>G1336</x:f>
        <x:v>670</x:v>
      </x:c>
      <x:c r="E1342" s="83" t="str">
        <x:f>IF(A1342=0,"GRID",IF(D1342&gt;=Control!$B$17,"FINISHED",IF(AND(A1342&gt;=INDEX(Drivers!$G$8:$G$13,B1342),A1342&lt;INDEX(Drivers!$G$8:$G$13,B1342)+INDEX(Drivers!$J$8:$J$13,B1342)),"PIT",IF(MOD(A1342+INDEX(Drivers!$F$8:$F$13,B1342),Control!$B$11)&lt;Control!$B$13,"BOOST","RACE"))))</x:f>
        <x:v>FINISHED</x:v>
      </x:c>
      <x:c r="F1342" s="83" t="n">
        <x:f>IF(OR(E1342="GRID",E1342="FINISHED",E1342="PIT"),0,MAX(Control!$B$15,(INDEX(Drivers!$D$8:$D$13,B1342)+INDEX(Drivers!$E$8:$E$13,B1342)*SIN((A1342+INDEX(Drivers!$F$8:$F$13,B1342)+Control!$B$16)*Control!$B$14))*INDEX(TrackMap!$M$8:$M$141,MOD(INT(D1342)-1,Control!$B$7)+1)*IF(E1342="BOOST",Control!$B$12,1)))</x:f>
        <x:v>0</x:v>
      </x:c>
      <x:c r="G1342" s="83" t="n">
        <x:f>IF(A1342=0,D1342,MIN(Control!$B$17,D1342+F1342))</x:f>
        <x:v>670</x:v>
      </x:c>
      <x:c r="H1342" s="73" t="n">
        <x:f>MOD(INT(G1342)-1,Control!$B$7)+1</x:f>
        <x:v>134</x:v>
      </x:c>
      <x:c r="I1342" s="73" t="n">
        <x:f>MIN(Control!$B$6,MAX(1,INT(MAX(0,G1342)/Control!$B$7)+1))</x:f>
        <x:v>5</x:v>
      </x:c>
      <x:c r="J1342" s="73" t="n">
        <x:f>INDEX(Drivers!$H$8:$H$13,B1342)</x:f>
        <x:v>1</x:v>
      </x:c>
      <x:c r="K1342" s="73" t="n">
        <x:f>IF(J1342=1,INDEX(TrackMap!$I$8:$I$141,H1342),INDEX(TrackMap!$L$8:$L$141,H1342))</x:f>
        <x:v>3117</x:v>
      </x:c>
      <x:c r="L1342" s="73" t="str">
        <x:f>INDEX(TrackMap!$F$8:$F$141,H1342)</x:f>
        <x:v>←</x:v>
      </x:c>
      <x:c r="M1342" s="87" t="n">
        <x:f>MAX(0,G1342/Control!$B$17)</x:f>
        <x:v>1</x:v>
      </x:c>
      <x:c r="N1342" s="73" t="n">
        <x:f>IF(N1336&gt;0,N1336,IF(G1342&gt;=Control!$B$17,A1342,0))</x:f>
        <x:v>195</x:v>
      </x:c>
      <x:c r="O1342" s="91" t="n">
        <x:f>IF(N1342&gt;0,Control!$B$17+Control!$B$8+1-N1342,G1342)-B1342/100000</x:f>
        <x:v>715.99997</x:v>
      </x:c>
      <x:c r="P1342" s="73" t="n">
        <x:f>COUNTIF($O$1340:$O$1345,"&gt;"&amp;O1342)+1</x:f>
        <x:v>2</x:v>
      </x:c>
      <x:c r="Q1342" s="83" t="n">
        <x:f>MAX($G$1340:$G$1345)-G1342</x:f>
        <x:v>0</x:v>
      </x:c>
      <x:c r="R1342" s="73" t="str">
        <x:f>INDEX(TrackMap!$B$8:$B$141,H1342)</x:f>
        <x:v>发车大直道</x:v>
      </x:c>
    </x:row>
    <x:row r="1343" ht="20" customHeight="1">
      <x:c r="A1343" s="73" t="n">
        <x:v>222</x:v>
      </x:c>
      <x:c r="B1343" s="73" t="n">
        <x:v>4</x:v>
      </x:c>
      <x:c r="C1343" s="73" t="str">
        <x:f>INDEX(Drivers!$B$8:$B$13,B1343)</x:f>
        <x:v>紫影</x:v>
      </x:c>
      <x:c r="D1343" s="83" t="n">
        <x:f>G1337</x:f>
        <x:v>670</x:v>
      </x:c>
      <x:c r="E1343" s="83" t="str">
        <x:f>IF(A1343=0,"GRID",IF(D1343&gt;=Control!$B$17,"FINISHED",IF(AND(A1343&gt;=INDEX(Drivers!$G$8:$G$13,B1343),A1343&lt;INDEX(Drivers!$G$8:$G$13,B1343)+INDEX(Drivers!$J$8:$J$13,B1343)),"PIT",IF(MOD(A1343+INDEX(Drivers!$F$8:$F$13,B1343),Control!$B$11)&lt;Control!$B$13,"BOOST","RACE"))))</x:f>
        <x:v>FINISHED</x:v>
      </x:c>
      <x:c r="F1343" s="83" t="n">
        <x:f>IF(OR(E1343="GRID",E1343="FINISHED",E1343="PIT"),0,MAX(Control!$B$15,(INDEX(Drivers!$D$8:$D$13,B1343)+INDEX(Drivers!$E$8:$E$13,B1343)*SIN((A1343+INDEX(Drivers!$F$8:$F$13,B1343)+Control!$B$16)*Control!$B$14))*INDEX(TrackMap!$M$8:$M$141,MOD(INT(D1343)-1,Control!$B$7)+1)*IF(E1343="BOOST",Control!$B$12,1)))</x:f>
        <x:v>0</x:v>
      </x:c>
      <x:c r="G1343" s="83" t="n">
        <x:f>IF(A1343=0,D1343,MIN(Control!$B$17,D1343+F1343))</x:f>
        <x:v>670</x:v>
      </x:c>
      <x:c r="H1343" s="73" t="n">
        <x:f>MOD(INT(G1343)-1,Control!$B$7)+1</x:f>
        <x:v>134</x:v>
      </x:c>
      <x:c r="I1343" s="73" t="n">
        <x:f>MIN(Control!$B$6,MAX(1,INT(MAX(0,G1343)/Control!$B$7)+1))</x:f>
        <x:v>5</x:v>
      </x:c>
      <x:c r="J1343" s="73" t="n">
        <x:f>INDEX(Drivers!$H$8:$H$13,B1343)</x:f>
        <x:v>2</x:v>
      </x:c>
      <x:c r="K1343" s="73" t="n">
        <x:f>IF(J1343=1,INDEX(TrackMap!$I$8:$I$141,H1343),INDEX(TrackMap!$L$8:$L$141,H1343))</x:f>
        <x:v>3017</x:v>
      </x:c>
      <x:c r="L1343" s="73" t="str">
        <x:f>INDEX(TrackMap!$F$8:$F$141,H1343)</x:f>
        <x:v>←</x:v>
      </x:c>
      <x:c r="M1343" s="87" t="n">
        <x:f>MAX(0,G1343/Control!$B$17)</x:f>
        <x:v>1</x:v>
      </x:c>
      <x:c r="N1343" s="73" t="n">
        <x:f>IF(N1337&gt;0,N1337,IF(G1343&gt;=Control!$B$17,A1343,0))</x:f>
        <x:v>198</x:v>
      </x:c>
      <x:c r="O1343" s="91" t="n">
        <x:f>IF(N1343&gt;0,Control!$B$17+Control!$B$8+1-N1343,G1343)-B1343/100000</x:f>
        <x:v>712.99996</x:v>
      </x:c>
      <x:c r="P1343" s="73" t="n">
        <x:f>COUNTIF($O$1340:$O$1345,"&gt;"&amp;O1343)+1</x:f>
        <x:v>5</x:v>
      </x:c>
      <x:c r="Q1343" s="83" t="n">
        <x:f>MAX($G$1340:$G$1345)-G1343</x:f>
        <x:v>0</x:v>
      </x:c>
      <x:c r="R1343" s="73" t="str">
        <x:f>INDEX(TrackMap!$B$8:$B$141,H1343)</x:f>
        <x:v>发车大直道</x:v>
      </x:c>
    </x:row>
    <x:row r="1344" ht="20" customHeight="1">
      <x:c r="A1344" s="73" t="n">
        <x:v>222</x:v>
      </x:c>
      <x:c r="B1344" s="73" t="n">
        <x:v>5</x:v>
      </x:c>
      <x:c r="C1344" s="73" t="str">
        <x:f>INDEX(Drivers!$B$8:$B$13,B1344)</x:f>
        <x:v>青锋</x:v>
      </x:c>
      <x:c r="D1344" s="83" t="n">
        <x:f>G1338</x:f>
        <x:v>670</x:v>
      </x:c>
      <x:c r="E1344" s="83" t="str">
        <x:f>IF(A1344=0,"GRID",IF(D1344&gt;=Control!$B$17,"FINISHED",IF(AND(A1344&gt;=INDEX(Drivers!$G$8:$G$13,B1344),A1344&lt;INDEX(Drivers!$G$8:$G$13,B1344)+INDEX(Drivers!$J$8:$J$13,B1344)),"PIT",IF(MOD(A1344+INDEX(Drivers!$F$8:$F$13,B1344),Control!$B$11)&lt;Control!$B$13,"BOOST","RACE"))))</x:f>
        <x:v>FINISHED</x:v>
      </x:c>
      <x:c r="F1344" s="83" t="n">
        <x:f>IF(OR(E1344="GRID",E1344="FINISHED",E1344="PIT"),0,MAX(Control!$B$15,(INDEX(Drivers!$D$8:$D$13,B1344)+INDEX(Drivers!$E$8:$E$13,B1344)*SIN((A1344+INDEX(Drivers!$F$8:$F$13,B1344)+Control!$B$16)*Control!$B$14))*INDEX(TrackMap!$M$8:$M$141,MOD(INT(D1344)-1,Control!$B$7)+1)*IF(E1344="BOOST",Control!$B$12,1)))</x:f>
        <x:v>0</x:v>
      </x:c>
      <x:c r="G1344" s="83" t="n">
        <x:f>IF(A1344=0,D1344,MIN(Control!$B$17,D1344+F1344))</x:f>
        <x:v>670</x:v>
      </x:c>
      <x:c r="H1344" s="73" t="n">
        <x:f>MOD(INT(G1344)-1,Control!$B$7)+1</x:f>
        <x:v>134</x:v>
      </x:c>
      <x:c r="I1344" s="73" t="n">
        <x:f>MIN(Control!$B$6,MAX(1,INT(MAX(0,G1344)/Control!$B$7)+1))</x:f>
        <x:v>5</x:v>
      </x:c>
      <x:c r="J1344" s="73" t="n">
        <x:f>INDEX(Drivers!$H$8:$H$13,B1344)</x:f>
        <x:v>1</x:v>
      </x:c>
      <x:c r="K1344" s="73" t="n">
        <x:f>IF(J1344=1,INDEX(TrackMap!$I$8:$I$141,H1344),INDEX(TrackMap!$L$8:$L$141,H1344))</x:f>
        <x:v>3117</x:v>
      </x:c>
      <x:c r="L1344" s="73" t="str">
        <x:f>INDEX(TrackMap!$F$8:$F$141,H1344)</x:f>
        <x:v>←</x:v>
      </x:c>
      <x:c r="M1344" s="87" t="n">
        <x:f>MAX(0,G1344/Control!$B$17)</x:f>
        <x:v>1</x:v>
      </x:c>
      <x:c r="N1344" s="73" t="n">
        <x:f>IF(N1338&gt;0,N1338,IF(G1344&gt;=Control!$B$17,A1344,0))</x:f>
        <x:v>195</x:v>
      </x:c>
      <x:c r="O1344" s="91" t="n">
        <x:f>IF(N1344&gt;0,Control!$B$17+Control!$B$8+1-N1344,G1344)-B1344/100000</x:f>
        <x:v>715.99995</x:v>
      </x:c>
      <x:c r="P1344" s="73" t="n">
        <x:f>COUNTIF($O$1340:$O$1345,"&gt;"&amp;O1344)+1</x:f>
        <x:v>3</x:v>
      </x:c>
      <x:c r="Q1344" s="83" t="n">
        <x:f>MAX($G$1340:$G$1345)-G1344</x:f>
        <x:v>0</x:v>
      </x:c>
      <x:c r="R1344" s="73" t="str">
        <x:f>INDEX(TrackMap!$B$8:$B$141,H1344)</x:f>
        <x:v>发车大直道</x:v>
      </x:c>
    </x:row>
    <x:row r="1345" ht="20" customHeight="1">
      <x:c r="A1345" s="73" t="n">
        <x:v>222</x:v>
      </x:c>
      <x:c r="B1345" s="73" t="n">
        <x:v>6</x:v>
      </x:c>
      <x:c r="C1345" s="73" t="str">
        <x:f>INDEX(Drivers!$B$8:$B$13,B1345)</x:f>
        <x:v>玫速</x:v>
      </x:c>
      <x:c r="D1345" s="83" t="n">
        <x:f>G1339</x:f>
        <x:v>670</x:v>
      </x:c>
      <x:c r="E1345" s="83" t="str">
        <x:f>IF(A1345=0,"GRID",IF(D1345&gt;=Control!$B$17,"FINISHED",IF(AND(A1345&gt;=INDEX(Drivers!$G$8:$G$13,B1345),A1345&lt;INDEX(Drivers!$G$8:$G$13,B1345)+INDEX(Drivers!$J$8:$J$13,B1345)),"PIT",IF(MOD(A1345+INDEX(Drivers!$F$8:$F$13,B1345),Control!$B$11)&lt;Control!$B$13,"BOOST","RACE"))))</x:f>
        <x:v>FINISHED</x:v>
      </x:c>
      <x:c r="F1345" s="83" t="n">
        <x:f>IF(OR(E1345="GRID",E1345="FINISHED",E1345="PIT"),0,MAX(Control!$B$15,(INDEX(Drivers!$D$8:$D$13,B1345)+INDEX(Drivers!$E$8:$E$13,B1345)*SIN((A1345+INDEX(Drivers!$F$8:$F$13,B1345)+Control!$B$16)*Control!$B$14))*INDEX(TrackMap!$M$8:$M$141,MOD(INT(D1345)-1,Control!$B$7)+1)*IF(E1345="BOOST",Control!$B$12,1)))</x:f>
        <x:v>0</x:v>
      </x:c>
      <x:c r="G1345" s="83" t="n">
        <x:f>IF(A1345=0,D1345,MIN(Control!$B$17,D1345+F1345))</x:f>
        <x:v>670</x:v>
      </x:c>
      <x:c r="H1345" s="73" t="n">
        <x:f>MOD(INT(G1345)-1,Control!$B$7)+1</x:f>
        <x:v>134</x:v>
      </x:c>
      <x:c r="I1345" s="73" t="n">
        <x:f>MIN(Control!$B$6,MAX(1,INT(MAX(0,G1345)/Control!$B$7)+1))</x:f>
        <x:v>5</x:v>
      </x:c>
      <x:c r="J1345" s="73" t="n">
        <x:f>INDEX(Drivers!$H$8:$H$13,B1345)</x:f>
        <x:v>2</x:v>
      </x:c>
      <x:c r="K1345" s="73" t="n">
        <x:f>IF(J1345=1,INDEX(TrackMap!$I$8:$I$141,H1345),INDEX(TrackMap!$L$8:$L$141,H1345))</x:f>
        <x:v>3017</x:v>
      </x:c>
      <x:c r="L1345" s="73" t="str">
        <x:f>INDEX(TrackMap!$F$8:$F$141,H1345)</x:f>
        <x:v>←</x:v>
      </x:c>
      <x:c r="M1345" s="87" t="n">
        <x:f>MAX(0,G1345/Control!$B$17)</x:f>
        <x:v>1</x:v>
      </x:c>
      <x:c r="N1345" s="73" t="n">
        <x:f>IF(N1339&gt;0,N1339,IF(G1345&gt;=Control!$B$17,A1345,0))</x:f>
        <x:v>196</x:v>
      </x:c>
      <x:c r="O1345" s="91" t="n">
        <x:f>IF(N1345&gt;0,Control!$B$17+Control!$B$8+1-N1345,G1345)-B1345/100000</x:f>
        <x:v>714.99994</x:v>
      </x:c>
      <x:c r="P1345" s="73" t="n">
        <x:f>COUNTIF($O$1340:$O$1345,"&gt;"&amp;O1345)+1</x:f>
        <x:v>4</x:v>
      </x:c>
      <x:c r="Q1345" s="83" t="n">
        <x:f>MAX($G$1340:$G$1345)-G1345</x:f>
        <x:v>0</x:v>
      </x:c>
      <x:c r="R1345" s="73" t="str">
        <x:f>INDEX(TrackMap!$B$8:$B$141,H1345)</x:f>
        <x:v>发车大直道</x:v>
      </x:c>
    </x:row>
    <x:row r="1346" ht="20" customHeight="1">
      <x:c r="A1346" s="73" t="n">
        <x:v>223</x:v>
      </x:c>
      <x:c r="B1346" s="73" t="n">
        <x:v>1</x:v>
      </x:c>
      <x:c r="C1346" s="73" t="str">
        <x:f>INDEX(Drivers!$B$8:$B$13,B1346)</x:f>
        <x:v>赤焰</x:v>
      </x:c>
      <x:c r="D1346" s="83" t="n">
        <x:f>G1340</x:f>
        <x:v>670</x:v>
      </x:c>
      <x:c r="E1346" s="83" t="str">
        <x:f>IF(A1346=0,"GRID",IF(D1346&gt;=Control!$B$17,"FINISHED",IF(AND(A1346&gt;=INDEX(Drivers!$G$8:$G$13,B1346),A1346&lt;INDEX(Drivers!$G$8:$G$13,B1346)+INDEX(Drivers!$J$8:$J$13,B1346)),"PIT",IF(MOD(A1346+INDEX(Drivers!$F$8:$F$13,B1346),Control!$B$11)&lt;Control!$B$13,"BOOST","RACE"))))</x:f>
        <x:v>FINISHED</x:v>
      </x:c>
      <x:c r="F1346" s="83" t="n">
        <x:f>IF(OR(E1346="GRID",E1346="FINISHED",E1346="PIT"),0,MAX(Control!$B$15,(INDEX(Drivers!$D$8:$D$13,B1346)+INDEX(Drivers!$E$8:$E$13,B1346)*SIN((A1346+INDEX(Drivers!$F$8:$F$13,B1346)+Control!$B$16)*Control!$B$14))*INDEX(TrackMap!$M$8:$M$141,MOD(INT(D1346)-1,Control!$B$7)+1)*IF(E1346="BOOST",Control!$B$12,1)))</x:f>
        <x:v>0</x:v>
      </x:c>
      <x:c r="G1346" s="83" t="n">
        <x:f>IF(A1346=0,D1346,MIN(Control!$B$17,D1346+F1346))</x:f>
        <x:v>670</x:v>
      </x:c>
      <x:c r="H1346" s="73" t="n">
        <x:f>MOD(INT(G1346)-1,Control!$B$7)+1</x:f>
        <x:v>134</x:v>
      </x:c>
      <x:c r="I1346" s="73" t="n">
        <x:f>MIN(Control!$B$6,MAX(1,INT(MAX(0,G1346)/Control!$B$7)+1))</x:f>
        <x:v>5</x:v>
      </x:c>
      <x:c r="J1346" s="73" t="n">
        <x:f>INDEX(Drivers!$H$8:$H$13,B1346)</x:f>
        <x:v>1</x:v>
      </x:c>
      <x:c r="K1346" s="73" t="n">
        <x:f>IF(J1346=1,INDEX(TrackMap!$I$8:$I$141,H1346),INDEX(TrackMap!$L$8:$L$141,H1346))</x:f>
        <x:v>3117</x:v>
      </x:c>
      <x:c r="L1346" s="73" t="str">
        <x:f>INDEX(TrackMap!$F$8:$F$141,H1346)</x:f>
        <x:v>←</x:v>
      </x:c>
      <x:c r="M1346" s="87" t="n">
        <x:f>MAX(0,G1346/Control!$B$17)</x:f>
        <x:v>1</x:v>
      </x:c>
      <x:c r="N1346" s="73" t="n">
        <x:f>IF(N1340&gt;0,N1340,IF(G1346&gt;=Control!$B$17,A1346,0))</x:f>
        <x:v>194</x:v>
      </x:c>
      <x:c r="O1346" s="91" t="n">
        <x:f>IF(N1346&gt;0,Control!$B$17+Control!$B$8+1-N1346,G1346)-B1346/100000</x:f>
        <x:v>716.99999</x:v>
      </x:c>
      <x:c r="P1346" s="73" t="n">
        <x:f>COUNTIF($O$1346:$O$1351,"&gt;"&amp;O1346)+1</x:f>
        <x:v>1</x:v>
      </x:c>
      <x:c r="Q1346" s="83" t="n">
        <x:f>MAX($G$1346:$G$1351)-G1346</x:f>
        <x:v>0</x:v>
      </x:c>
      <x:c r="R1346" s="73" t="str">
        <x:f>INDEX(TrackMap!$B$8:$B$141,H1346)</x:f>
        <x:v>发车大直道</x:v>
      </x:c>
    </x:row>
    <x:row r="1347" ht="20" customHeight="1">
      <x:c r="A1347" s="73" t="n">
        <x:v>223</x:v>
      </x:c>
      <x:c r="B1347" s="73" t="n">
        <x:v>2</x:v>
      </x:c>
      <x:c r="C1347" s="73" t="str">
        <x:f>INDEX(Drivers!$B$8:$B$13,B1347)</x:f>
        <x:v>蓝电</x:v>
      </x:c>
      <x:c r="D1347" s="83" t="n">
        <x:f>G1341</x:f>
        <x:v>670</x:v>
      </x:c>
      <x:c r="E1347" s="83" t="str">
        <x:f>IF(A1347=0,"GRID",IF(D1347&gt;=Control!$B$17,"FINISHED",IF(AND(A1347&gt;=INDEX(Drivers!$G$8:$G$13,B1347),A1347&lt;INDEX(Drivers!$G$8:$G$13,B1347)+INDEX(Drivers!$J$8:$J$13,B1347)),"PIT",IF(MOD(A1347+INDEX(Drivers!$F$8:$F$13,B1347),Control!$B$11)&lt;Control!$B$13,"BOOST","RACE"))))</x:f>
        <x:v>FINISHED</x:v>
      </x:c>
      <x:c r="F1347" s="83" t="n">
        <x:f>IF(OR(E1347="GRID",E1347="FINISHED",E1347="PIT"),0,MAX(Control!$B$15,(INDEX(Drivers!$D$8:$D$13,B1347)+INDEX(Drivers!$E$8:$E$13,B1347)*SIN((A1347+INDEX(Drivers!$F$8:$F$13,B1347)+Control!$B$16)*Control!$B$14))*INDEX(TrackMap!$M$8:$M$141,MOD(INT(D1347)-1,Control!$B$7)+1)*IF(E1347="BOOST",Control!$B$12,1)))</x:f>
        <x:v>0</x:v>
      </x:c>
      <x:c r="G1347" s="83" t="n">
        <x:f>IF(A1347=0,D1347,MIN(Control!$B$17,D1347+F1347))</x:f>
        <x:v>670</x:v>
      </x:c>
      <x:c r="H1347" s="73" t="n">
        <x:f>MOD(INT(G1347)-1,Control!$B$7)+1</x:f>
        <x:v>134</x:v>
      </x:c>
      <x:c r="I1347" s="73" t="n">
        <x:f>MIN(Control!$B$6,MAX(1,INT(MAX(0,G1347)/Control!$B$7)+1))</x:f>
        <x:v>5</x:v>
      </x:c>
      <x:c r="J1347" s="73" t="n">
        <x:f>INDEX(Drivers!$H$8:$H$13,B1347)</x:f>
        <x:v>2</x:v>
      </x:c>
      <x:c r="K1347" s="73" t="n">
        <x:f>IF(J1347=1,INDEX(TrackMap!$I$8:$I$141,H1347),INDEX(TrackMap!$L$8:$L$141,H1347))</x:f>
        <x:v>3017</x:v>
      </x:c>
      <x:c r="L1347" s="73" t="str">
        <x:f>INDEX(TrackMap!$F$8:$F$141,H1347)</x:f>
        <x:v>←</x:v>
      </x:c>
      <x:c r="M1347" s="87" t="n">
        <x:f>MAX(0,G1347/Control!$B$17)</x:f>
        <x:v>1</x:v>
      </x:c>
      <x:c r="N1347" s="73" t="n">
        <x:f>IF(N1341&gt;0,N1341,IF(G1347&gt;=Control!$B$17,A1347,0))</x:f>
        <x:v>201</x:v>
      </x:c>
      <x:c r="O1347" s="91" t="n">
        <x:f>IF(N1347&gt;0,Control!$B$17+Control!$B$8+1-N1347,G1347)-B1347/100000</x:f>
        <x:v>709.99998</x:v>
      </x:c>
      <x:c r="P1347" s="73" t="n">
        <x:f>COUNTIF($O$1346:$O$1351,"&gt;"&amp;O1347)+1</x:f>
        <x:v>6</x:v>
      </x:c>
      <x:c r="Q1347" s="83" t="n">
        <x:f>MAX($G$1346:$G$1351)-G1347</x:f>
        <x:v>0</x:v>
      </x:c>
      <x:c r="R1347" s="73" t="str">
        <x:f>INDEX(TrackMap!$B$8:$B$141,H1347)</x:f>
        <x:v>发车大直道</x:v>
      </x:c>
    </x:row>
    <x:row r="1348" ht="20" customHeight="1">
      <x:c r="A1348" s="73" t="n">
        <x:v>223</x:v>
      </x:c>
      <x:c r="B1348" s="73" t="n">
        <x:v>3</x:v>
      </x:c>
      <x:c r="C1348" s="73" t="str">
        <x:f>INDEX(Drivers!$B$8:$B$13,B1348)</x:f>
        <x:v>金翼</x:v>
      </x:c>
      <x:c r="D1348" s="83" t="n">
        <x:f>G1342</x:f>
        <x:v>670</x:v>
      </x:c>
      <x:c r="E1348" s="83" t="str">
        <x:f>IF(A1348=0,"GRID",IF(D1348&gt;=Control!$B$17,"FINISHED",IF(AND(A1348&gt;=INDEX(Drivers!$G$8:$G$13,B1348),A1348&lt;INDEX(Drivers!$G$8:$G$13,B1348)+INDEX(Drivers!$J$8:$J$13,B1348)),"PIT",IF(MOD(A1348+INDEX(Drivers!$F$8:$F$13,B1348),Control!$B$11)&lt;Control!$B$13,"BOOST","RACE"))))</x:f>
        <x:v>FINISHED</x:v>
      </x:c>
      <x:c r="F1348" s="83" t="n">
        <x:f>IF(OR(E1348="GRID",E1348="FINISHED",E1348="PIT"),0,MAX(Control!$B$15,(INDEX(Drivers!$D$8:$D$13,B1348)+INDEX(Drivers!$E$8:$E$13,B1348)*SIN((A1348+INDEX(Drivers!$F$8:$F$13,B1348)+Control!$B$16)*Control!$B$14))*INDEX(TrackMap!$M$8:$M$141,MOD(INT(D1348)-1,Control!$B$7)+1)*IF(E1348="BOOST",Control!$B$12,1)))</x:f>
        <x:v>0</x:v>
      </x:c>
      <x:c r="G1348" s="83" t="n">
        <x:f>IF(A1348=0,D1348,MIN(Control!$B$17,D1348+F1348))</x:f>
        <x:v>670</x:v>
      </x:c>
      <x:c r="H1348" s="73" t="n">
        <x:f>MOD(INT(G1348)-1,Control!$B$7)+1</x:f>
        <x:v>134</x:v>
      </x:c>
      <x:c r="I1348" s="73" t="n">
        <x:f>MIN(Control!$B$6,MAX(1,INT(MAX(0,G1348)/Control!$B$7)+1))</x:f>
        <x:v>5</x:v>
      </x:c>
      <x:c r="J1348" s="73" t="n">
        <x:f>INDEX(Drivers!$H$8:$H$13,B1348)</x:f>
        <x:v>1</x:v>
      </x:c>
      <x:c r="K1348" s="73" t="n">
        <x:f>IF(J1348=1,INDEX(TrackMap!$I$8:$I$141,H1348),INDEX(TrackMap!$L$8:$L$141,H1348))</x:f>
        <x:v>3117</x:v>
      </x:c>
      <x:c r="L1348" s="73" t="str">
        <x:f>INDEX(TrackMap!$F$8:$F$141,H1348)</x:f>
        <x:v>←</x:v>
      </x:c>
      <x:c r="M1348" s="87" t="n">
        <x:f>MAX(0,G1348/Control!$B$17)</x:f>
        <x:v>1</x:v>
      </x:c>
      <x:c r="N1348" s="73" t="n">
        <x:f>IF(N1342&gt;0,N1342,IF(G1348&gt;=Control!$B$17,A1348,0))</x:f>
        <x:v>195</x:v>
      </x:c>
      <x:c r="O1348" s="91" t="n">
        <x:f>IF(N1348&gt;0,Control!$B$17+Control!$B$8+1-N1348,G1348)-B1348/100000</x:f>
        <x:v>715.99997</x:v>
      </x:c>
      <x:c r="P1348" s="73" t="n">
        <x:f>COUNTIF($O$1346:$O$1351,"&gt;"&amp;O1348)+1</x:f>
        <x:v>2</x:v>
      </x:c>
      <x:c r="Q1348" s="83" t="n">
        <x:f>MAX($G$1346:$G$1351)-G1348</x:f>
        <x:v>0</x:v>
      </x:c>
      <x:c r="R1348" s="73" t="str">
        <x:f>INDEX(TrackMap!$B$8:$B$141,H1348)</x:f>
        <x:v>发车大直道</x:v>
      </x:c>
    </x:row>
    <x:row r="1349" ht="20" customHeight="1">
      <x:c r="A1349" s="73" t="n">
        <x:v>223</x:v>
      </x:c>
      <x:c r="B1349" s="73" t="n">
        <x:v>4</x:v>
      </x:c>
      <x:c r="C1349" s="73" t="str">
        <x:f>INDEX(Drivers!$B$8:$B$13,B1349)</x:f>
        <x:v>紫影</x:v>
      </x:c>
      <x:c r="D1349" s="83" t="n">
        <x:f>G1343</x:f>
        <x:v>670</x:v>
      </x:c>
      <x:c r="E1349" s="83" t="str">
        <x:f>IF(A1349=0,"GRID",IF(D1349&gt;=Control!$B$17,"FINISHED",IF(AND(A1349&gt;=INDEX(Drivers!$G$8:$G$13,B1349),A1349&lt;INDEX(Drivers!$G$8:$G$13,B1349)+INDEX(Drivers!$J$8:$J$13,B1349)),"PIT",IF(MOD(A1349+INDEX(Drivers!$F$8:$F$13,B1349),Control!$B$11)&lt;Control!$B$13,"BOOST","RACE"))))</x:f>
        <x:v>FINISHED</x:v>
      </x:c>
      <x:c r="F1349" s="83" t="n">
        <x:f>IF(OR(E1349="GRID",E1349="FINISHED",E1349="PIT"),0,MAX(Control!$B$15,(INDEX(Drivers!$D$8:$D$13,B1349)+INDEX(Drivers!$E$8:$E$13,B1349)*SIN((A1349+INDEX(Drivers!$F$8:$F$13,B1349)+Control!$B$16)*Control!$B$14))*INDEX(TrackMap!$M$8:$M$141,MOD(INT(D1349)-1,Control!$B$7)+1)*IF(E1349="BOOST",Control!$B$12,1)))</x:f>
        <x:v>0</x:v>
      </x:c>
      <x:c r="G1349" s="83" t="n">
        <x:f>IF(A1349=0,D1349,MIN(Control!$B$17,D1349+F1349))</x:f>
        <x:v>670</x:v>
      </x:c>
      <x:c r="H1349" s="73" t="n">
        <x:f>MOD(INT(G1349)-1,Control!$B$7)+1</x:f>
        <x:v>134</x:v>
      </x:c>
      <x:c r="I1349" s="73" t="n">
        <x:f>MIN(Control!$B$6,MAX(1,INT(MAX(0,G1349)/Control!$B$7)+1))</x:f>
        <x:v>5</x:v>
      </x:c>
      <x:c r="J1349" s="73" t="n">
        <x:f>INDEX(Drivers!$H$8:$H$13,B1349)</x:f>
        <x:v>2</x:v>
      </x:c>
      <x:c r="K1349" s="73" t="n">
        <x:f>IF(J1349=1,INDEX(TrackMap!$I$8:$I$141,H1349),INDEX(TrackMap!$L$8:$L$141,H1349))</x:f>
        <x:v>3017</x:v>
      </x:c>
      <x:c r="L1349" s="73" t="str">
        <x:f>INDEX(TrackMap!$F$8:$F$141,H1349)</x:f>
        <x:v>←</x:v>
      </x:c>
      <x:c r="M1349" s="87" t="n">
        <x:f>MAX(0,G1349/Control!$B$17)</x:f>
        <x:v>1</x:v>
      </x:c>
      <x:c r="N1349" s="73" t="n">
        <x:f>IF(N1343&gt;0,N1343,IF(G1349&gt;=Control!$B$17,A1349,0))</x:f>
        <x:v>198</x:v>
      </x:c>
      <x:c r="O1349" s="91" t="n">
        <x:f>IF(N1349&gt;0,Control!$B$17+Control!$B$8+1-N1349,G1349)-B1349/100000</x:f>
        <x:v>712.99996</x:v>
      </x:c>
      <x:c r="P1349" s="73" t="n">
        <x:f>COUNTIF($O$1346:$O$1351,"&gt;"&amp;O1349)+1</x:f>
        <x:v>5</x:v>
      </x:c>
      <x:c r="Q1349" s="83" t="n">
        <x:f>MAX($G$1346:$G$1351)-G1349</x:f>
        <x:v>0</x:v>
      </x:c>
      <x:c r="R1349" s="73" t="str">
        <x:f>INDEX(TrackMap!$B$8:$B$141,H1349)</x:f>
        <x:v>发车大直道</x:v>
      </x:c>
    </x:row>
    <x:row r="1350" ht="20" customHeight="1">
      <x:c r="A1350" s="73" t="n">
        <x:v>223</x:v>
      </x:c>
      <x:c r="B1350" s="73" t="n">
        <x:v>5</x:v>
      </x:c>
      <x:c r="C1350" s="73" t="str">
        <x:f>INDEX(Drivers!$B$8:$B$13,B1350)</x:f>
        <x:v>青锋</x:v>
      </x:c>
      <x:c r="D1350" s="83" t="n">
        <x:f>G1344</x:f>
        <x:v>670</x:v>
      </x:c>
      <x:c r="E1350" s="83" t="str">
        <x:f>IF(A1350=0,"GRID",IF(D1350&gt;=Control!$B$17,"FINISHED",IF(AND(A1350&gt;=INDEX(Drivers!$G$8:$G$13,B1350),A1350&lt;INDEX(Drivers!$G$8:$G$13,B1350)+INDEX(Drivers!$J$8:$J$13,B1350)),"PIT",IF(MOD(A1350+INDEX(Drivers!$F$8:$F$13,B1350),Control!$B$11)&lt;Control!$B$13,"BOOST","RACE"))))</x:f>
        <x:v>FINISHED</x:v>
      </x:c>
      <x:c r="F1350" s="83" t="n">
        <x:f>IF(OR(E1350="GRID",E1350="FINISHED",E1350="PIT"),0,MAX(Control!$B$15,(INDEX(Drivers!$D$8:$D$13,B1350)+INDEX(Drivers!$E$8:$E$13,B1350)*SIN((A1350+INDEX(Drivers!$F$8:$F$13,B1350)+Control!$B$16)*Control!$B$14))*INDEX(TrackMap!$M$8:$M$141,MOD(INT(D1350)-1,Control!$B$7)+1)*IF(E1350="BOOST",Control!$B$12,1)))</x:f>
        <x:v>0</x:v>
      </x:c>
      <x:c r="G1350" s="83" t="n">
        <x:f>IF(A1350=0,D1350,MIN(Control!$B$17,D1350+F1350))</x:f>
        <x:v>670</x:v>
      </x:c>
      <x:c r="H1350" s="73" t="n">
        <x:f>MOD(INT(G1350)-1,Control!$B$7)+1</x:f>
        <x:v>134</x:v>
      </x:c>
      <x:c r="I1350" s="73" t="n">
        <x:f>MIN(Control!$B$6,MAX(1,INT(MAX(0,G1350)/Control!$B$7)+1))</x:f>
        <x:v>5</x:v>
      </x:c>
      <x:c r="J1350" s="73" t="n">
        <x:f>INDEX(Drivers!$H$8:$H$13,B1350)</x:f>
        <x:v>1</x:v>
      </x:c>
      <x:c r="K1350" s="73" t="n">
        <x:f>IF(J1350=1,INDEX(TrackMap!$I$8:$I$141,H1350),INDEX(TrackMap!$L$8:$L$141,H1350))</x:f>
        <x:v>3117</x:v>
      </x:c>
      <x:c r="L1350" s="73" t="str">
        <x:f>INDEX(TrackMap!$F$8:$F$141,H1350)</x:f>
        <x:v>←</x:v>
      </x:c>
      <x:c r="M1350" s="87" t="n">
        <x:f>MAX(0,G1350/Control!$B$17)</x:f>
        <x:v>1</x:v>
      </x:c>
      <x:c r="N1350" s="73" t="n">
        <x:f>IF(N1344&gt;0,N1344,IF(G1350&gt;=Control!$B$17,A1350,0))</x:f>
        <x:v>195</x:v>
      </x:c>
      <x:c r="O1350" s="91" t="n">
        <x:f>IF(N1350&gt;0,Control!$B$17+Control!$B$8+1-N1350,G1350)-B1350/100000</x:f>
        <x:v>715.99995</x:v>
      </x:c>
      <x:c r="P1350" s="73" t="n">
        <x:f>COUNTIF($O$1346:$O$1351,"&gt;"&amp;O1350)+1</x:f>
        <x:v>3</x:v>
      </x:c>
      <x:c r="Q1350" s="83" t="n">
        <x:f>MAX($G$1346:$G$1351)-G1350</x:f>
        <x:v>0</x:v>
      </x:c>
      <x:c r="R1350" s="73" t="str">
        <x:f>INDEX(TrackMap!$B$8:$B$141,H1350)</x:f>
        <x:v>发车大直道</x:v>
      </x:c>
    </x:row>
    <x:row r="1351" ht="20" customHeight="1">
      <x:c r="A1351" s="73" t="n">
        <x:v>223</x:v>
      </x:c>
      <x:c r="B1351" s="73" t="n">
        <x:v>6</x:v>
      </x:c>
      <x:c r="C1351" s="73" t="str">
        <x:f>INDEX(Drivers!$B$8:$B$13,B1351)</x:f>
        <x:v>玫速</x:v>
      </x:c>
      <x:c r="D1351" s="83" t="n">
        <x:f>G1345</x:f>
        <x:v>670</x:v>
      </x:c>
      <x:c r="E1351" s="83" t="str">
        <x:f>IF(A1351=0,"GRID",IF(D1351&gt;=Control!$B$17,"FINISHED",IF(AND(A1351&gt;=INDEX(Drivers!$G$8:$G$13,B1351),A1351&lt;INDEX(Drivers!$G$8:$G$13,B1351)+INDEX(Drivers!$J$8:$J$13,B1351)),"PIT",IF(MOD(A1351+INDEX(Drivers!$F$8:$F$13,B1351),Control!$B$11)&lt;Control!$B$13,"BOOST","RACE"))))</x:f>
        <x:v>FINISHED</x:v>
      </x:c>
      <x:c r="F1351" s="83" t="n">
        <x:f>IF(OR(E1351="GRID",E1351="FINISHED",E1351="PIT"),0,MAX(Control!$B$15,(INDEX(Drivers!$D$8:$D$13,B1351)+INDEX(Drivers!$E$8:$E$13,B1351)*SIN((A1351+INDEX(Drivers!$F$8:$F$13,B1351)+Control!$B$16)*Control!$B$14))*INDEX(TrackMap!$M$8:$M$141,MOD(INT(D1351)-1,Control!$B$7)+1)*IF(E1351="BOOST",Control!$B$12,1)))</x:f>
        <x:v>0</x:v>
      </x:c>
      <x:c r="G1351" s="83" t="n">
        <x:f>IF(A1351=0,D1351,MIN(Control!$B$17,D1351+F1351))</x:f>
        <x:v>670</x:v>
      </x:c>
      <x:c r="H1351" s="73" t="n">
        <x:f>MOD(INT(G1351)-1,Control!$B$7)+1</x:f>
        <x:v>134</x:v>
      </x:c>
      <x:c r="I1351" s="73" t="n">
        <x:f>MIN(Control!$B$6,MAX(1,INT(MAX(0,G1351)/Control!$B$7)+1))</x:f>
        <x:v>5</x:v>
      </x:c>
      <x:c r="J1351" s="73" t="n">
        <x:f>INDEX(Drivers!$H$8:$H$13,B1351)</x:f>
        <x:v>2</x:v>
      </x:c>
      <x:c r="K1351" s="73" t="n">
        <x:f>IF(J1351=1,INDEX(TrackMap!$I$8:$I$141,H1351),INDEX(TrackMap!$L$8:$L$141,H1351))</x:f>
        <x:v>3017</x:v>
      </x:c>
      <x:c r="L1351" s="73" t="str">
        <x:f>INDEX(TrackMap!$F$8:$F$141,H1351)</x:f>
        <x:v>←</x:v>
      </x:c>
      <x:c r="M1351" s="87" t="n">
        <x:f>MAX(0,G1351/Control!$B$17)</x:f>
        <x:v>1</x:v>
      </x:c>
      <x:c r="N1351" s="73" t="n">
        <x:f>IF(N1345&gt;0,N1345,IF(G1351&gt;=Control!$B$17,A1351,0))</x:f>
        <x:v>196</x:v>
      </x:c>
      <x:c r="O1351" s="91" t="n">
        <x:f>IF(N1351&gt;0,Control!$B$17+Control!$B$8+1-N1351,G1351)-B1351/100000</x:f>
        <x:v>714.99994</x:v>
      </x:c>
      <x:c r="P1351" s="73" t="n">
        <x:f>COUNTIF($O$1346:$O$1351,"&gt;"&amp;O1351)+1</x:f>
        <x:v>4</x:v>
      </x:c>
      <x:c r="Q1351" s="83" t="n">
        <x:f>MAX($G$1346:$G$1351)-G1351</x:f>
        <x:v>0</x:v>
      </x:c>
      <x:c r="R1351" s="73" t="str">
        <x:f>INDEX(TrackMap!$B$8:$B$141,H1351)</x:f>
        <x:v>发车大直道</x:v>
      </x:c>
    </x:row>
    <x:row r="1352" ht="20" customHeight="1">
      <x:c r="A1352" s="73" t="n">
        <x:v>224</x:v>
      </x:c>
      <x:c r="B1352" s="73" t="n">
        <x:v>1</x:v>
      </x:c>
      <x:c r="C1352" s="73" t="str">
        <x:f>INDEX(Drivers!$B$8:$B$13,B1352)</x:f>
        <x:v>赤焰</x:v>
      </x:c>
      <x:c r="D1352" s="83" t="n">
        <x:f>G1346</x:f>
        <x:v>670</x:v>
      </x:c>
      <x:c r="E1352" s="83" t="str">
        <x:f>IF(A1352=0,"GRID",IF(D1352&gt;=Control!$B$17,"FINISHED",IF(AND(A1352&gt;=INDEX(Drivers!$G$8:$G$13,B1352),A1352&lt;INDEX(Drivers!$G$8:$G$13,B1352)+INDEX(Drivers!$J$8:$J$13,B1352)),"PIT",IF(MOD(A1352+INDEX(Drivers!$F$8:$F$13,B1352),Control!$B$11)&lt;Control!$B$13,"BOOST","RACE"))))</x:f>
        <x:v>FINISHED</x:v>
      </x:c>
      <x:c r="F1352" s="83" t="n">
        <x:f>IF(OR(E1352="GRID",E1352="FINISHED",E1352="PIT"),0,MAX(Control!$B$15,(INDEX(Drivers!$D$8:$D$13,B1352)+INDEX(Drivers!$E$8:$E$13,B1352)*SIN((A1352+INDEX(Drivers!$F$8:$F$13,B1352)+Control!$B$16)*Control!$B$14))*INDEX(TrackMap!$M$8:$M$141,MOD(INT(D1352)-1,Control!$B$7)+1)*IF(E1352="BOOST",Control!$B$12,1)))</x:f>
        <x:v>0</x:v>
      </x:c>
      <x:c r="G1352" s="83" t="n">
        <x:f>IF(A1352=0,D1352,MIN(Control!$B$17,D1352+F1352))</x:f>
        <x:v>670</x:v>
      </x:c>
      <x:c r="H1352" s="73" t="n">
        <x:f>MOD(INT(G1352)-1,Control!$B$7)+1</x:f>
        <x:v>134</x:v>
      </x:c>
      <x:c r="I1352" s="73" t="n">
        <x:f>MIN(Control!$B$6,MAX(1,INT(MAX(0,G1352)/Control!$B$7)+1))</x:f>
        <x:v>5</x:v>
      </x:c>
      <x:c r="J1352" s="73" t="n">
        <x:f>INDEX(Drivers!$H$8:$H$13,B1352)</x:f>
        <x:v>1</x:v>
      </x:c>
      <x:c r="K1352" s="73" t="n">
        <x:f>IF(J1352=1,INDEX(TrackMap!$I$8:$I$141,H1352),INDEX(TrackMap!$L$8:$L$141,H1352))</x:f>
        <x:v>3117</x:v>
      </x:c>
      <x:c r="L1352" s="73" t="str">
        <x:f>INDEX(TrackMap!$F$8:$F$141,H1352)</x:f>
        <x:v>←</x:v>
      </x:c>
      <x:c r="M1352" s="87" t="n">
        <x:f>MAX(0,G1352/Control!$B$17)</x:f>
        <x:v>1</x:v>
      </x:c>
      <x:c r="N1352" s="73" t="n">
        <x:f>IF(N1346&gt;0,N1346,IF(G1352&gt;=Control!$B$17,A1352,0))</x:f>
        <x:v>194</x:v>
      </x:c>
      <x:c r="O1352" s="91" t="n">
        <x:f>IF(N1352&gt;0,Control!$B$17+Control!$B$8+1-N1352,G1352)-B1352/100000</x:f>
        <x:v>716.99999</x:v>
      </x:c>
      <x:c r="P1352" s="73" t="n">
        <x:f>COUNTIF($O$1352:$O$1357,"&gt;"&amp;O1352)+1</x:f>
        <x:v>1</x:v>
      </x:c>
      <x:c r="Q1352" s="83" t="n">
        <x:f>MAX($G$1352:$G$1357)-G1352</x:f>
        <x:v>0</x:v>
      </x:c>
      <x:c r="R1352" s="73" t="str">
        <x:f>INDEX(TrackMap!$B$8:$B$141,H1352)</x:f>
        <x:v>发车大直道</x:v>
      </x:c>
    </x:row>
    <x:row r="1353" ht="20" customHeight="1">
      <x:c r="A1353" s="73" t="n">
        <x:v>224</x:v>
      </x:c>
      <x:c r="B1353" s="73" t="n">
        <x:v>2</x:v>
      </x:c>
      <x:c r="C1353" s="73" t="str">
        <x:f>INDEX(Drivers!$B$8:$B$13,B1353)</x:f>
        <x:v>蓝电</x:v>
      </x:c>
      <x:c r="D1353" s="83" t="n">
        <x:f>G1347</x:f>
        <x:v>670</x:v>
      </x:c>
      <x:c r="E1353" s="83" t="str">
        <x:f>IF(A1353=0,"GRID",IF(D1353&gt;=Control!$B$17,"FINISHED",IF(AND(A1353&gt;=INDEX(Drivers!$G$8:$G$13,B1353),A1353&lt;INDEX(Drivers!$G$8:$G$13,B1353)+INDEX(Drivers!$J$8:$J$13,B1353)),"PIT",IF(MOD(A1353+INDEX(Drivers!$F$8:$F$13,B1353),Control!$B$11)&lt;Control!$B$13,"BOOST","RACE"))))</x:f>
        <x:v>FINISHED</x:v>
      </x:c>
      <x:c r="F1353" s="83" t="n">
        <x:f>IF(OR(E1353="GRID",E1353="FINISHED",E1353="PIT"),0,MAX(Control!$B$15,(INDEX(Drivers!$D$8:$D$13,B1353)+INDEX(Drivers!$E$8:$E$13,B1353)*SIN((A1353+INDEX(Drivers!$F$8:$F$13,B1353)+Control!$B$16)*Control!$B$14))*INDEX(TrackMap!$M$8:$M$141,MOD(INT(D1353)-1,Control!$B$7)+1)*IF(E1353="BOOST",Control!$B$12,1)))</x:f>
        <x:v>0</x:v>
      </x:c>
      <x:c r="G1353" s="83" t="n">
        <x:f>IF(A1353=0,D1353,MIN(Control!$B$17,D1353+F1353))</x:f>
        <x:v>670</x:v>
      </x:c>
      <x:c r="H1353" s="73" t="n">
        <x:f>MOD(INT(G1353)-1,Control!$B$7)+1</x:f>
        <x:v>134</x:v>
      </x:c>
      <x:c r="I1353" s="73" t="n">
        <x:f>MIN(Control!$B$6,MAX(1,INT(MAX(0,G1353)/Control!$B$7)+1))</x:f>
        <x:v>5</x:v>
      </x:c>
      <x:c r="J1353" s="73" t="n">
        <x:f>INDEX(Drivers!$H$8:$H$13,B1353)</x:f>
        <x:v>2</x:v>
      </x:c>
      <x:c r="K1353" s="73" t="n">
        <x:f>IF(J1353=1,INDEX(TrackMap!$I$8:$I$141,H1353),INDEX(TrackMap!$L$8:$L$141,H1353))</x:f>
        <x:v>3017</x:v>
      </x:c>
      <x:c r="L1353" s="73" t="str">
        <x:f>INDEX(TrackMap!$F$8:$F$141,H1353)</x:f>
        <x:v>←</x:v>
      </x:c>
      <x:c r="M1353" s="87" t="n">
        <x:f>MAX(0,G1353/Control!$B$17)</x:f>
        <x:v>1</x:v>
      </x:c>
      <x:c r="N1353" s="73" t="n">
        <x:f>IF(N1347&gt;0,N1347,IF(G1353&gt;=Control!$B$17,A1353,0))</x:f>
        <x:v>201</x:v>
      </x:c>
      <x:c r="O1353" s="91" t="n">
        <x:f>IF(N1353&gt;0,Control!$B$17+Control!$B$8+1-N1353,G1353)-B1353/100000</x:f>
        <x:v>709.99998</x:v>
      </x:c>
      <x:c r="P1353" s="73" t="n">
        <x:f>COUNTIF($O$1352:$O$1357,"&gt;"&amp;O1353)+1</x:f>
        <x:v>6</x:v>
      </x:c>
      <x:c r="Q1353" s="83" t="n">
        <x:f>MAX($G$1352:$G$1357)-G1353</x:f>
        <x:v>0</x:v>
      </x:c>
      <x:c r="R1353" s="73" t="str">
        <x:f>INDEX(TrackMap!$B$8:$B$141,H1353)</x:f>
        <x:v>发车大直道</x:v>
      </x:c>
    </x:row>
    <x:row r="1354" ht="20" customHeight="1">
      <x:c r="A1354" s="73" t="n">
        <x:v>224</x:v>
      </x:c>
      <x:c r="B1354" s="73" t="n">
        <x:v>3</x:v>
      </x:c>
      <x:c r="C1354" s="73" t="str">
        <x:f>INDEX(Drivers!$B$8:$B$13,B1354)</x:f>
        <x:v>金翼</x:v>
      </x:c>
      <x:c r="D1354" s="83" t="n">
        <x:f>G1348</x:f>
        <x:v>670</x:v>
      </x:c>
      <x:c r="E1354" s="83" t="str">
        <x:f>IF(A1354=0,"GRID",IF(D1354&gt;=Control!$B$17,"FINISHED",IF(AND(A1354&gt;=INDEX(Drivers!$G$8:$G$13,B1354),A1354&lt;INDEX(Drivers!$G$8:$G$13,B1354)+INDEX(Drivers!$J$8:$J$13,B1354)),"PIT",IF(MOD(A1354+INDEX(Drivers!$F$8:$F$13,B1354),Control!$B$11)&lt;Control!$B$13,"BOOST","RACE"))))</x:f>
        <x:v>FINISHED</x:v>
      </x:c>
      <x:c r="F1354" s="83" t="n">
        <x:f>IF(OR(E1354="GRID",E1354="FINISHED",E1354="PIT"),0,MAX(Control!$B$15,(INDEX(Drivers!$D$8:$D$13,B1354)+INDEX(Drivers!$E$8:$E$13,B1354)*SIN((A1354+INDEX(Drivers!$F$8:$F$13,B1354)+Control!$B$16)*Control!$B$14))*INDEX(TrackMap!$M$8:$M$141,MOD(INT(D1354)-1,Control!$B$7)+1)*IF(E1354="BOOST",Control!$B$12,1)))</x:f>
        <x:v>0</x:v>
      </x:c>
      <x:c r="G1354" s="83" t="n">
        <x:f>IF(A1354=0,D1354,MIN(Control!$B$17,D1354+F1354))</x:f>
        <x:v>670</x:v>
      </x:c>
      <x:c r="H1354" s="73" t="n">
        <x:f>MOD(INT(G1354)-1,Control!$B$7)+1</x:f>
        <x:v>134</x:v>
      </x:c>
      <x:c r="I1354" s="73" t="n">
        <x:f>MIN(Control!$B$6,MAX(1,INT(MAX(0,G1354)/Control!$B$7)+1))</x:f>
        <x:v>5</x:v>
      </x:c>
      <x:c r="J1354" s="73" t="n">
        <x:f>INDEX(Drivers!$H$8:$H$13,B1354)</x:f>
        <x:v>1</x:v>
      </x:c>
      <x:c r="K1354" s="73" t="n">
        <x:f>IF(J1354=1,INDEX(TrackMap!$I$8:$I$141,H1354),INDEX(TrackMap!$L$8:$L$141,H1354))</x:f>
        <x:v>3117</x:v>
      </x:c>
      <x:c r="L1354" s="73" t="str">
        <x:f>INDEX(TrackMap!$F$8:$F$141,H1354)</x:f>
        <x:v>←</x:v>
      </x:c>
      <x:c r="M1354" s="87" t="n">
        <x:f>MAX(0,G1354/Control!$B$17)</x:f>
        <x:v>1</x:v>
      </x:c>
      <x:c r="N1354" s="73" t="n">
        <x:f>IF(N1348&gt;0,N1348,IF(G1354&gt;=Control!$B$17,A1354,0))</x:f>
        <x:v>195</x:v>
      </x:c>
      <x:c r="O1354" s="91" t="n">
        <x:f>IF(N1354&gt;0,Control!$B$17+Control!$B$8+1-N1354,G1354)-B1354/100000</x:f>
        <x:v>715.99997</x:v>
      </x:c>
      <x:c r="P1354" s="73" t="n">
        <x:f>COUNTIF($O$1352:$O$1357,"&gt;"&amp;O1354)+1</x:f>
        <x:v>2</x:v>
      </x:c>
      <x:c r="Q1354" s="83" t="n">
        <x:f>MAX($G$1352:$G$1357)-G1354</x:f>
        <x:v>0</x:v>
      </x:c>
      <x:c r="R1354" s="73" t="str">
        <x:f>INDEX(TrackMap!$B$8:$B$141,H1354)</x:f>
        <x:v>发车大直道</x:v>
      </x:c>
    </x:row>
    <x:row r="1355" ht="20" customHeight="1">
      <x:c r="A1355" s="73" t="n">
        <x:v>224</x:v>
      </x:c>
      <x:c r="B1355" s="73" t="n">
        <x:v>4</x:v>
      </x:c>
      <x:c r="C1355" s="73" t="str">
        <x:f>INDEX(Drivers!$B$8:$B$13,B1355)</x:f>
        <x:v>紫影</x:v>
      </x:c>
      <x:c r="D1355" s="83" t="n">
        <x:f>G1349</x:f>
        <x:v>670</x:v>
      </x:c>
      <x:c r="E1355" s="83" t="str">
        <x:f>IF(A1355=0,"GRID",IF(D1355&gt;=Control!$B$17,"FINISHED",IF(AND(A1355&gt;=INDEX(Drivers!$G$8:$G$13,B1355),A1355&lt;INDEX(Drivers!$G$8:$G$13,B1355)+INDEX(Drivers!$J$8:$J$13,B1355)),"PIT",IF(MOD(A1355+INDEX(Drivers!$F$8:$F$13,B1355),Control!$B$11)&lt;Control!$B$13,"BOOST","RACE"))))</x:f>
        <x:v>FINISHED</x:v>
      </x:c>
      <x:c r="F1355" s="83" t="n">
        <x:f>IF(OR(E1355="GRID",E1355="FINISHED",E1355="PIT"),0,MAX(Control!$B$15,(INDEX(Drivers!$D$8:$D$13,B1355)+INDEX(Drivers!$E$8:$E$13,B1355)*SIN((A1355+INDEX(Drivers!$F$8:$F$13,B1355)+Control!$B$16)*Control!$B$14))*INDEX(TrackMap!$M$8:$M$141,MOD(INT(D1355)-1,Control!$B$7)+1)*IF(E1355="BOOST",Control!$B$12,1)))</x:f>
        <x:v>0</x:v>
      </x:c>
      <x:c r="G1355" s="83" t="n">
        <x:f>IF(A1355=0,D1355,MIN(Control!$B$17,D1355+F1355))</x:f>
        <x:v>670</x:v>
      </x:c>
      <x:c r="H1355" s="73" t="n">
        <x:f>MOD(INT(G1355)-1,Control!$B$7)+1</x:f>
        <x:v>134</x:v>
      </x:c>
      <x:c r="I1355" s="73" t="n">
        <x:f>MIN(Control!$B$6,MAX(1,INT(MAX(0,G1355)/Control!$B$7)+1))</x:f>
        <x:v>5</x:v>
      </x:c>
      <x:c r="J1355" s="73" t="n">
        <x:f>INDEX(Drivers!$H$8:$H$13,B1355)</x:f>
        <x:v>2</x:v>
      </x:c>
      <x:c r="K1355" s="73" t="n">
        <x:f>IF(J1355=1,INDEX(TrackMap!$I$8:$I$141,H1355),INDEX(TrackMap!$L$8:$L$141,H1355))</x:f>
        <x:v>3017</x:v>
      </x:c>
      <x:c r="L1355" s="73" t="str">
        <x:f>INDEX(TrackMap!$F$8:$F$141,H1355)</x:f>
        <x:v>←</x:v>
      </x:c>
      <x:c r="M1355" s="87" t="n">
        <x:f>MAX(0,G1355/Control!$B$17)</x:f>
        <x:v>1</x:v>
      </x:c>
      <x:c r="N1355" s="73" t="n">
        <x:f>IF(N1349&gt;0,N1349,IF(G1355&gt;=Control!$B$17,A1355,0))</x:f>
        <x:v>198</x:v>
      </x:c>
      <x:c r="O1355" s="91" t="n">
        <x:f>IF(N1355&gt;0,Control!$B$17+Control!$B$8+1-N1355,G1355)-B1355/100000</x:f>
        <x:v>712.99996</x:v>
      </x:c>
      <x:c r="P1355" s="73" t="n">
        <x:f>COUNTIF($O$1352:$O$1357,"&gt;"&amp;O1355)+1</x:f>
        <x:v>5</x:v>
      </x:c>
      <x:c r="Q1355" s="83" t="n">
        <x:f>MAX($G$1352:$G$1357)-G1355</x:f>
        <x:v>0</x:v>
      </x:c>
      <x:c r="R1355" s="73" t="str">
        <x:f>INDEX(TrackMap!$B$8:$B$141,H1355)</x:f>
        <x:v>发车大直道</x:v>
      </x:c>
    </x:row>
    <x:row r="1356" ht="20" customHeight="1">
      <x:c r="A1356" s="73" t="n">
        <x:v>224</x:v>
      </x:c>
      <x:c r="B1356" s="73" t="n">
        <x:v>5</x:v>
      </x:c>
      <x:c r="C1356" s="73" t="str">
        <x:f>INDEX(Drivers!$B$8:$B$13,B1356)</x:f>
        <x:v>青锋</x:v>
      </x:c>
      <x:c r="D1356" s="83" t="n">
        <x:f>G1350</x:f>
        <x:v>670</x:v>
      </x:c>
      <x:c r="E1356" s="83" t="str">
        <x:f>IF(A1356=0,"GRID",IF(D1356&gt;=Control!$B$17,"FINISHED",IF(AND(A1356&gt;=INDEX(Drivers!$G$8:$G$13,B1356),A1356&lt;INDEX(Drivers!$G$8:$G$13,B1356)+INDEX(Drivers!$J$8:$J$13,B1356)),"PIT",IF(MOD(A1356+INDEX(Drivers!$F$8:$F$13,B1356),Control!$B$11)&lt;Control!$B$13,"BOOST","RACE"))))</x:f>
        <x:v>FINISHED</x:v>
      </x:c>
      <x:c r="F1356" s="83" t="n">
        <x:f>IF(OR(E1356="GRID",E1356="FINISHED",E1356="PIT"),0,MAX(Control!$B$15,(INDEX(Drivers!$D$8:$D$13,B1356)+INDEX(Drivers!$E$8:$E$13,B1356)*SIN((A1356+INDEX(Drivers!$F$8:$F$13,B1356)+Control!$B$16)*Control!$B$14))*INDEX(TrackMap!$M$8:$M$141,MOD(INT(D1356)-1,Control!$B$7)+1)*IF(E1356="BOOST",Control!$B$12,1)))</x:f>
        <x:v>0</x:v>
      </x:c>
      <x:c r="G1356" s="83" t="n">
        <x:f>IF(A1356=0,D1356,MIN(Control!$B$17,D1356+F1356))</x:f>
        <x:v>670</x:v>
      </x:c>
      <x:c r="H1356" s="73" t="n">
        <x:f>MOD(INT(G1356)-1,Control!$B$7)+1</x:f>
        <x:v>134</x:v>
      </x:c>
      <x:c r="I1356" s="73" t="n">
        <x:f>MIN(Control!$B$6,MAX(1,INT(MAX(0,G1356)/Control!$B$7)+1))</x:f>
        <x:v>5</x:v>
      </x:c>
      <x:c r="J1356" s="73" t="n">
        <x:f>INDEX(Drivers!$H$8:$H$13,B1356)</x:f>
        <x:v>1</x:v>
      </x:c>
      <x:c r="K1356" s="73" t="n">
        <x:f>IF(J1356=1,INDEX(TrackMap!$I$8:$I$141,H1356),INDEX(TrackMap!$L$8:$L$141,H1356))</x:f>
        <x:v>3117</x:v>
      </x:c>
      <x:c r="L1356" s="73" t="str">
        <x:f>INDEX(TrackMap!$F$8:$F$141,H1356)</x:f>
        <x:v>←</x:v>
      </x:c>
      <x:c r="M1356" s="87" t="n">
        <x:f>MAX(0,G1356/Control!$B$17)</x:f>
        <x:v>1</x:v>
      </x:c>
      <x:c r="N1356" s="73" t="n">
        <x:f>IF(N1350&gt;0,N1350,IF(G1356&gt;=Control!$B$17,A1356,0))</x:f>
        <x:v>195</x:v>
      </x:c>
      <x:c r="O1356" s="91" t="n">
        <x:f>IF(N1356&gt;0,Control!$B$17+Control!$B$8+1-N1356,G1356)-B1356/100000</x:f>
        <x:v>715.99995</x:v>
      </x:c>
      <x:c r="P1356" s="73" t="n">
        <x:f>COUNTIF($O$1352:$O$1357,"&gt;"&amp;O1356)+1</x:f>
        <x:v>3</x:v>
      </x:c>
      <x:c r="Q1356" s="83" t="n">
        <x:f>MAX($G$1352:$G$1357)-G1356</x:f>
        <x:v>0</x:v>
      </x:c>
      <x:c r="R1356" s="73" t="str">
        <x:f>INDEX(TrackMap!$B$8:$B$141,H1356)</x:f>
        <x:v>发车大直道</x:v>
      </x:c>
    </x:row>
    <x:row r="1357" ht="20" customHeight="1">
      <x:c r="A1357" s="73" t="n">
        <x:v>224</x:v>
      </x:c>
      <x:c r="B1357" s="73" t="n">
        <x:v>6</x:v>
      </x:c>
      <x:c r="C1357" s="73" t="str">
        <x:f>INDEX(Drivers!$B$8:$B$13,B1357)</x:f>
        <x:v>玫速</x:v>
      </x:c>
      <x:c r="D1357" s="83" t="n">
        <x:f>G1351</x:f>
        <x:v>670</x:v>
      </x:c>
      <x:c r="E1357" s="83" t="str">
        <x:f>IF(A1357=0,"GRID",IF(D1357&gt;=Control!$B$17,"FINISHED",IF(AND(A1357&gt;=INDEX(Drivers!$G$8:$G$13,B1357),A1357&lt;INDEX(Drivers!$G$8:$G$13,B1357)+INDEX(Drivers!$J$8:$J$13,B1357)),"PIT",IF(MOD(A1357+INDEX(Drivers!$F$8:$F$13,B1357),Control!$B$11)&lt;Control!$B$13,"BOOST","RACE"))))</x:f>
        <x:v>FINISHED</x:v>
      </x:c>
      <x:c r="F1357" s="83" t="n">
        <x:f>IF(OR(E1357="GRID",E1357="FINISHED",E1357="PIT"),0,MAX(Control!$B$15,(INDEX(Drivers!$D$8:$D$13,B1357)+INDEX(Drivers!$E$8:$E$13,B1357)*SIN((A1357+INDEX(Drivers!$F$8:$F$13,B1357)+Control!$B$16)*Control!$B$14))*INDEX(TrackMap!$M$8:$M$141,MOD(INT(D1357)-1,Control!$B$7)+1)*IF(E1357="BOOST",Control!$B$12,1)))</x:f>
        <x:v>0</x:v>
      </x:c>
      <x:c r="G1357" s="83" t="n">
        <x:f>IF(A1357=0,D1357,MIN(Control!$B$17,D1357+F1357))</x:f>
        <x:v>670</x:v>
      </x:c>
      <x:c r="H1357" s="73" t="n">
        <x:f>MOD(INT(G1357)-1,Control!$B$7)+1</x:f>
        <x:v>134</x:v>
      </x:c>
      <x:c r="I1357" s="73" t="n">
        <x:f>MIN(Control!$B$6,MAX(1,INT(MAX(0,G1357)/Control!$B$7)+1))</x:f>
        <x:v>5</x:v>
      </x:c>
      <x:c r="J1357" s="73" t="n">
        <x:f>INDEX(Drivers!$H$8:$H$13,B1357)</x:f>
        <x:v>2</x:v>
      </x:c>
      <x:c r="K1357" s="73" t="n">
        <x:f>IF(J1357=1,INDEX(TrackMap!$I$8:$I$141,H1357),INDEX(TrackMap!$L$8:$L$141,H1357))</x:f>
        <x:v>3017</x:v>
      </x:c>
      <x:c r="L1357" s="73" t="str">
        <x:f>INDEX(TrackMap!$F$8:$F$141,H1357)</x:f>
        <x:v>←</x:v>
      </x:c>
      <x:c r="M1357" s="87" t="n">
        <x:f>MAX(0,G1357/Control!$B$17)</x:f>
        <x:v>1</x:v>
      </x:c>
      <x:c r="N1357" s="73" t="n">
        <x:f>IF(N1351&gt;0,N1351,IF(G1357&gt;=Control!$B$17,A1357,0))</x:f>
        <x:v>196</x:v>
      </x:c>
      <x:c r="O1357" s="91" t="n">
        <x:f>IF(N1357&gt;0,Control!$B$17+Control!$B$8+1-N1357,G1357)-B1357/100000</x:f>
        <x:v>714.99994</x:v>
      </x:c>
      <x:c r="P1357" s="73" t="n">
        <x:f>COUNTIF($O$1352:$O$1357,"&gt;"&amp;O1357)+1</x:f>
        <x:v>4</x:v>
      </x:c>
      <x:c r="Q1357" s="83" t="n">
        <x:f>MAX($G$1352:$G$1357)-G1357</x:f>
        <x:v>0</x:v>
      </x:c>
      <x:c r="R1357" s="73" t="str">
        <x:f>INDEX(TrackMap!$B$8:$B$141,H1357)</x:f>
        <x:v>发车大直道</x:v>
      </x:c>
    </x:row>
    <x:row r="1358" ht="20" customHeight="1">
      <x:c r="A1358" s="73" t="n">
        <x:v>225</x:v>
      </x:c>
      <x:c r="B1358" s="73" t="n">
        <x:v>1</x:v>
      </x:c>
      <x:c r="C1358" s="73" t="str">
        <x:f>INDEX(Drivers!$B$8:$B$13,B1358)</x:f>
        <x:v>赤焰</x:v>
      </x:c>
      <x:c r="D1358" s="83" t="n">
        <x:f>G1352</x:f>
        <x:v>670</x:v>
      </x:c>
      <x:c r="E1358" s="83" t="str">
        <x:f>IF(A1358=0,"GRID",IF(D1358&gt;=Control!$B$17,"FINISHED",IF(AND(A1358&gt;=INDEX(Drivers!$G$8:$G$13,B1358),A1358&lt;INDEX(Drivers!$G$8:$G$13,B1358)+INDEX(Drivers!$J$8:$J$13,B1358)),"PIT",IF(MOD(A1358+INDEX(Drivers!$F$8:$F$13,B1358),Control!$B$11)&lt;Control!$B$13,"BOOST","RACE"))))</x:f>
        <x:v>FINISHED</x:v>
      </x:c>
      <x:c r="F1358" s="83" t="n">
        <x:f>IF(OR(E1358="GRID",E1358="FINISHED",E1358="PIT"),0,MAX(Control!$B$15,(INDEX(Drivers!$D$8:$D$13,B1358)+INDEX(Drivers!$E$8:$E$13,B1358)*SIN((A1358+INDEX(Drivers!$F$8:$F$13,B1358)+Control!$B$16)*Control!$B$14))*INDEX(TrackMap!$M$8:$M$141,MOD(INT(D1358)-1,Control!$B$7)+1)*IF(E1358="BOOST",Control!$B$12,1)))</x:f>
        <x:v>0</x:v>
      </x:c>
      <x:c r="G1358" s="83" t="n">
        <x:f>IF(A1358=0,D1358,MIN(Control!$B$17,D1358+F1358))</x:f>
        <x:v>670</x:v>
      </x:c>
      <x:c r="H1358" s="73" t="n">
        <x:f>MOD(INT(G1358)-1,Control!$B$7)+1</x:f>
        <x:v>134</x:v>
      </x:c>
      <x:c r="I1358" s="73" t="n">
        <x:f>MIN(Control!$B$6,MAX(1,INT(MAX(0,G1358)/Control!$B$7)+1))</x:f>
        <x:v>5</x:v>
      </x:c>
      <x:c r="J1358" s="73" t="n">
        <x:f>INDEX(Drivers!$H$8:$H$13,B1358)</x:f>
        <x:v>1</x:v>
      </x:c>
      <x:c r="K1358" s="73" t="n">
        <x:f>IF(J1358=1,INDEX(TrackMap!$I$8:$I$141,H1358),INDEX(TrackMap!$L$8:$L$141,H1358))</x:f>
        <x:v>3117</x:v>
      </x:c>
      <x:c r="L1358" s="73" t="str">
        <x:f>INDEX(TrackMap!$F$8:$F$141,H1358)</x:f>
        <x:v>←</x:v>
      </x:c>
      <x:c r="M1358" s="87" t="n">
        <x:f>MAX(0,G1358/Control!$B$17)</x:f>
        <x:v>1</x:v>
      </x:c>
      <x:c r="N1358" s="73" t="n">
        <x:f>IF(N1352&gt;0,N1352,IF(G1358&gt;=Control!$B$17,A1358,0))</x:f>
        <x:v>194</x:v>
      </x:c>
      <x:c r="O1358" s="91" t="n">
        <x:f>IF(N1358&gt;0,Control!$B$17+Control!$B$8+1-N1358,G1358)-B1358/100000</x:f>
        <x:v>716.99999</x:v>
      </x:c>
      <x:c r="P1358" s="73" t="n">
        <x:f>COUNTIF($O$1358:$O$1363,"&gt;"&amp;O1358)+1</x:f>
        <x:v>1</x:v>
      </x:c>
      <x:c r="Q1358" s="83" t="n">
        <x:f>MAX($G$1358:$G$1363)-G1358</x:f>
        <x:v>0</x:v>
      </x:c>
      <x:c r="R1358" s="73" t="str">
        <x:f>INDEX(TrackMap!$B$8:$B$141,H1358)</x:f>
        <x:v>发车大直道</x:v>
      </x:c>
    </x:row>
    <x:row r="1359" ht="20" customHeight="1">
      <x:c r="A1359" s="73" t="n">
        <x:v>225</x:v>
      </x:c>
      <x:c r="B1359" s="73" t="n">
        <x:v>2</x:v>
      </x:c>
      <x:c r="C1359" s="73" t="str">
        <x:f>INDEX(Drivers!$B$8:$B$13,B1359)</x:f>
        <x:v>蓝电</x:v>
      </x:c>
      <x:c r="D1359" s="83" t="n">
        <x:f>G1353</x:f>
        <x:v>670</x:v>
      </x:c>
      <x:c r="E1359" s="83" t="str">
        <x:f>IF(A1359=0,"GRID",IF(D1359&gt;=Control!$B$17,"FINISHED",IF(AND(A1359&gt;=INDEX(Drivers!$G$8:$G$13,B1359),A1359&lt;INDEX(Drivers!$G$8:$G$13,B1359)+INDEX(Drivers!$J$8:$J$13,B1359)),"PIT",IF(MOD(A1359+INDEX(Drivers!$F$8:$F$13,B1359),Control!$B$11)&lt;Control!$B$13,"BOOST","RACE"))))</x:f>
        <x:v>FINISHED</x:v>
      </x:c>
      <x:c r="F1359" s="83" t="n">
        <x:f>IF(OR(E1359="GRID",E1359="FINISHED",E1359="PIT"),0,MAX(Control!$B$15,(INDEX(Drivers!$D$8:$D$13,B1359)+INDEX(Drivers!$E$8:$E$13,B1359)*SIN((A1359+INDEX(Drivers!$F$8:$F$13,B1359)+Control!$B$16)*Control!$B$14))*INDEX(TrackMap!$M$8:$M$141,MOD(INT(D1359)-1,Control!$B$7)+1)*IF(E1359="BOOST",Control!$B$12,1)))</x:f>
        <x:v>0</x:v>
      </x:c>
      <x:c r="G1359" s="83" t="n">
        <x:f>IF(A1359=0,D1359,MIN(Control!$B$17,D1359+F1359))</x:f>
        <x:v>670</x:v>
      </x:c>
      <x:c r="H1359" s="73" t="n">
        <x:f>MOD(INT(G1359)-1,Control!$B$7)+1</x:f>
        <x:v>134</x:v>
      </x:c>
      <x:c r="I1359" s="73" t="n">
        <x:f>MIN(Control!$B$6,MAX(1,INT(MAX(0,G1359)/Control!$B$7)+1))</x:f>
        <x:v>5</x:v>
      </x:c>
      <x:c r="J1359" s="73" t="n">
        <x:f>INDEX(Drivers!$H$8:$H$13,B1359)</x:f>
        <x:v>2</x:v>
      </x:c>
      <x:c r="K1359" s="73" t="n">
        <x:f>IF(J1359=1,INDEX(TrackMap!$I$8:$I$141,H1359),INDEX(TrackMap!$L$8:$L$141,H1359))</x:f>
        <x:v>3017</x:v>
      </x:c>
      <x:c r="L1359" s="73" t="str">
        <x:f>INDEX(TrackMap!$F$8:$F$141,H1359)</x:f>
        <x:v>←</x:v>
      </x:c>
      <x:c r="M1359" s="87" t="n">
        <x:f>MAX(0,G1359/Control!$B$17)</x:f>
        <x:v>1</x:v>
      </x:c>
      <x:c r="N1359" s="73" t="n">
        <x:f>IF(N1353&gt;0,N1353,IF(G1359&gt;=Control!$B$17,A1359,0))</x:f>
        <x:v>201</x:v>
      </x:c>
      <x:c r="O1359" s="91" t="n">
        <x:f>IF(N1359&gt;0,Control!$B$17+Control!$B$8+1-N1359,G1359)-B1359/100000</x:f>
        <x:v>709.99998</x:v>
      </x:c>
      <x:c r="P1359" s="73" t="n">
        <x:f>COUNTIF($O$1358:$O$1363,"&gt;"&amp;O1359)+1</x:f>
        <x:v>6</x:v>
      </x:c>
      <x:c r="Q1359" s="83" t="n">
        <x:f>MAX($G$1358:$G$1363)-G1359</x:f>
        <x:v>0</x:v>
      </x:c>
      <x:c r="R1359" s="73" t="str">
        <x:f>INDEX(TrackMap!$B$8:$B$141,H1359)</x:f>
        <x:v>发车大直道</x:v>
      </x:c>
    </x:row>
    <x:row r="1360" ht="20" customHeight="1">
      <x:c r="A1360" s="73" t="n">
        <x:v>225</x:v>
      </x:c>
      <x:c r="B1360" s="73" t="n">
        <x:v>3</x:v>
      </x:c>
      <x:c r="C1360" s="73" t="str">
        <x:f>INDEX(Drivers!$B$8:$B$13,B1360)</x:f>
        <x:v>金翼</x:v>
      </x:c>
      <x:c r="D1360" s="83" t="n">
        <x:f>G1354</x:f>
        <x:v>670</x:v>
      </x:c>
      <x:c r="E1360" s="83" t="str">
        <x:f>IF(A1360=0,"GRID",IF(D1360&gt;=Control!$B$17,"FINISHED",IF(AND(A1360&gt;=INDEX(Drivers!$G$8:$G$13,B1360),A1360&lt;INDEX(Drivers!$G$8:$G$13,B1360)+INDEX(Drivers!$J$8:$J$13,B1360)),"PIT",IF(MOD(A1360+INDEX(Drivers!$F$8:$F$13,B1360),Control!$B$11)&lt;Control!$B$13,"BOOST","RACE"))))</x:f>
        <x:v>FINISHED</x:v>
      </x:c>
      <x:c r="F1360" s="83" t="n">
        <x:f>IF(OR(E1360="GRID",E1360="FINISHED",E1360="PIT"),0,MAX(Control!$B$15,(INDEX(Drivers!$D$8:$D$13,B1360)+INDEX(Drivers!$E$8:$E$13,B1360)*SIN((A1360+INDEX(Drivers!$F$8:$F$13,B1360)+Control!$B$16)*Control!$B$14))*INDEX(TrackMap!$M$8:$M$141,MOD(INT(D1360)-1,Control!$B$7)+1)*IF(E1360="BOOST",Control!$B$12,1)))</x:f>
        <x:v>0</x:v>
      </x:c>
      <x:c r="G1360" s="83" t="n">
        <x:f>IF(A1360=0,D1360,MIN(Control!$B$17,D1360+F1360))</x:f>
        <x:v>670</x:v>
      </x:c>
      <x:c r="H1360" s="73" t="n">
        <x:f>MOD(INT(G1360)-1,Control!$B$7)+1</x:f>
        <x:v>134</x:v>
      </x:c>
      <x:c r="I1360" s="73" t="n">
        <x:f>MIN(Control!$B$6,MAX(1,INT(MAX(0,G1360)/Control!$B$7)+1))</x:f>
        <x:v>5</x:v>
      </x:c>
      <x:c r="J1360" s="73" t="n">
        <x:f>INDEX(Drivers!$H$8:$H$13,B1360)</x:f>
        <x:v>1</x:v>
      </x:c>
      <x:c r="K1360" s="73" t="n">
        <x:f>IF(J1360=1,INDEX(TrackMap!$I$8:$I$141,H1360),INDEX(TrackMap!$L$8:$L$141,H1360))</x:f>
        <x:v>3117</x:v>
      </x:c>
      <x:c r="L1360" s="73" t="str">
        <x:f>INDEX(TrackMap!$F$8:$F$141,H1360)</x:f>
        <x:v>←</x:v>
      </x:c>
      <x:c r="M1360" s="87" t="n">
        <x:f>MAX(0,G1360/Control!$B$17)</x:f>
        <x:v>1</x:v>
      </x:c>
      <x:c r="N1360" s="73" t="n">
        <x:f>IF(N1354&gt;0,N1354,IF(G1360&gt;=Control!$B$17,A1360,0))</x:f>
        <x:v>195</x:v>
      </x:c>
      <x:c r="O1360" s="91" t="n">
        <x:f>IF(N1360&gt;0,Control!$B$17+Control!$B$8+1-N1360,G1360)-B1360/100000</x:f>
        <x:v>715.99997</x:v>
      </x:c>
      <x:c r="P1360" s="73" t="n">
        <x:f>COUNTIF($O$1358:$O$1363,"&gt;"&amp;O1360)+1</x:f>
        <x:v>2</x:v>
      </x:c>
      <x:c r="Q1360" s="83" t="n">
        <x:f>MAX($G$1358:$G$1363)-G1360</x:f>
        <x:v>0</x:v>
      </x:c>
      <x:c r="R1360" s="73" t="str">
        <x:f>INDEX(TrackMap!$B$8:$B$141,H1360)</x:f>
        <x:v>发车大直道</x:v>
      </x:c>
    </x:row>
    <x:row r="1361" ht="20" customHeight="1">
      <x:c r="A1361" s="73" t="n">
        <x:v>225</x:v>
      </x:c>
      <x:c r="B1361" s="73" t="n">
        <x:v>4</x:v>
      </x:c>
      <x:c r="C1361" s="73" t="str">
        <x:f>INDEX(Drivers!$B$8:$B$13,B1361)</x:f>
        <x:v>紫影</x:v>
      </x:c>
      <x:c r="D1361" s="83" t="n">
        <x:f>G1355</x:f>
        <x:v>670</x:v>
      </x:c>
      <x:c r="E1361" s="83" t="str">
        <x:f>IF(A1361=0,"GRID",IF(D1361&gt;=Control!$B$17,"FINISHED",IF(AND(A1361&gt;=INDEX(Drivers!$G$8:$G$13,B1361),A1361&lt;INDEX(Drivers!$G$8:$G$13,B1361)+INDEX(Drivers!$J$8:$J$13,B1361)),"PIT",IF(MOD(A1361+INDEX(Drivers!$F$8:$F$13,B1361),Control!$B$11)&lt;Control!$B$13,"BOOST","RACE"))))</x:f>
        <x:v>FINISHED</x:v>
      </x:c>
      <x:c r="F1361" s="83" t="n">
        <x:f>IF(OR(E1361="GRID",E1361="FINISHED",E1361="PIT"),0,MAX(Control!$B$15,(INDEX(Drivers!$D$8:$D$13,B1361)+INDEX(Drivers!$E$8:$E$13,B1361)*SIN((A1361+INDEX(Drivers!$F$8:$F$13,B1361)+Control!$B$16)*Control!$B$14))*INDEX(TrackMap!$M$8:$M$141,MOD(INT(D1361)-1,Control!$B$7)+1)*IF(E1361="BOOST",Control!$B$12,1)))</x:f>
        <x:v>0</x:v>
      </x:c>
      <x:c r="G1361" s="83" t="n">
        <x:f>IF(A1361=0,D1361,MIN(Control!$B$17,D1361+F1361))</x:f>
        <x:v>670</x:v>
      </x:c>
      <x:c r="H1361" s="73" t="n">
        <x:f>MOD(INT(G1361)-1,Control!$B$7)+1</x:f>
        <x:v>134</x:v>
      </x:c>
      <x:c r="I1361" s="73" t="n">
        <x:f>MIN(Control!$B$6,MAX(1,INT(MAX(0,G1361)/Control!$B$7)+1))</x:f>
        <x:v>5</x:v>
      </x:c>
      <x:c r="J1361" s="73" t="n">
        <x:f>INDEX(Drivers!$H$8:$H$13,B1361)</x:f>
        <x:v>2</x:v>
      </x:c>
      <x:c r="K1361" s="73" t="n">
        <x:f>IF(J1361=1,INDEX(TrackMap!$I$8:$I$141,H1361),INDEX(TrackMap!$L$8:$L$141,H1361))</x:f>
        <x:v>3017</x:v>
      </x:c>
      <x:c r="L1361" s="73" t="str">
        <x:f>INDEX(TrackMap!$F$8:$F$141,H1361)</x:f>
        <x:v>←</x:v>
      </x:c>
      <x:c r="M1361" s="87" t="n">
        <x:f>MAX(0,G1361/Control!$B$17)</x:f>
        <x:v>1</x:v>
      </x:c>
      <x:c r="N1361" s="73" t="n">
        <x:f>IF(N1355&gt;0,N1355,IF(G1361&gt;=Control!$B$17,A1361,0))</x:f>
        <x:v>198</x:v>
      </x:c>
      <x:c r="O1361" s="91" t="n">
        <x:f>IF(N1361&gt;0,Control!$B$17+Control!$B$8+1-N1361,G1361)-B1361/100000</x:f>
        <x:v>712.99996</x:v>
      </x:c>
      <x:c r="P1361" s="73" t="n">
        <x:f>COUNTIF($O$1358:$O$1363,"&gt;"&amp;O1361)+1</x:f>
        <x:v>5</x:v>
      </x:c>
      <x:c r="Q1361" s="83" t="n">
        <x:f>MAX($G$1358:$G$1363)-G1361</x:f>
        <x:v>0</x:v>
      </x:c>
      <x:c r="R1361" s="73" t="str">
        <x:f>INDEX(TrackMap!$B$8:$B$141,H1361)</x:f>
        <x:v>发车大直道</x:v>
      </x:c>
    </x:row>
    <x:row r="1362" ht="20" customHeight="1">
      <x:c r="A1362" s="73" t="n">
        <x:v>225</x:v>
      </x:c>
      <x:c r="B1362" s="73" t="n">
        <x:v>5</x:v>
      </x:c>
      <x:c r="C1362" s="73" t="str">
        <x:f>INDEX(Drivers!$B$8:$B$13,B1362)</x:f>
        <x:v>青锋</x:v>
      </x:c>
      <x:c r="D1362" s="83" t="n">
        <x:f>G1356</x:f>
        <x:v>670</x:v>
      </x:c>
      <x:c r="E1362" s="83" t="str">
        <x:f>IF(A1362=0,"GRID",IF(D1362&gt;=Control!$B$17,"FINISHED",IF(AND(A1362&gt;=INDEX(Drivers!$G$8:$G$13,B1362),A1362&lt;INDEX(Drivers!$G$8:$G$13,B1362)+INDEX(Drivers!$J$8:$J$13,B1362)),"PIT",IF(MOD(A1362+INDEX(Drivers!$F$8:$F$13,B1362),Control!$B$11)&lt;Control!$B$13,"BOOST","RACE"))))</x:f>
        <x:v>FINISHED</x:v>
      </x:c>
      <x:c r="F1362" s="83" t="n">
        <x:f>IF(OR(E1362="GRID",E1362="FINISHED",E1362="PIT"),0,MAX(Control!$B$15,(INDEX(Drivers!$D$8:$D$13,B1362)+INDEX(Drivers!$E$8:$E$13,B1362)*SIN((A1362+INDEX(Drivers!$F$8:$F$13,B1362)+Control!$B$16)*Control!$B$14))*INDEX(TrackMap!$M$8:$M$141,MOD(INT(D1362)-1,Control!$B$7)+1)*IF(E1362="BOOST",Control!$B$12,1)))</x:f>
        <x:v>0</x:v>
      </x:c>
      <x:c r="G1362" s="83" t="n">
        <x:f>IF(A1362=0,D1362,MIN(Control!$B$17,D1362+F1362))</x:f>
        <x:v>670</x:v>
      </x:c>
      <x:c r="H1362" s="73" t="n">
        <x:f>MOD(INT(G1362)-1,Control!$B$7)+1</x:f>
        <x:v>134</x:v>
      </x:c>
      <x:c r="I1362" s="73" t="n">
        <x:f>MIN(Control!$B$6,MAX(1,INT(MAX(0,G1362)/Control!$B$7)+1))</x:f>
        <x:v>5</x:v>
      </x:c>
      <x:c r="J1362" s="73" t="n">
        <x:f>INDEX(Drivers!$H$8:$H$13,B1362)</x:f>
        <x:v>1</x:v>
      </x:c>
      <x:c r="K1362" s="73" t="n">
        <x:f>IF(J1362=1,INDEX(TrackMap!$I$8:$I$141,H1362),INDEX(TrackMap!$L$8:$L$141,H1362))</x:f>
        <x:v>3117</x:v>
      </x:c>
      <x:c r="L1362" s="73" t="str">
        <x:f>INDEX(TrackMap!$F$8:$F$141,H1362)</x:f>
        <x:v>←</x:v>
      </x:c>
      <x:c r="M1362" s="87" t="n">
        <x:f>MAX(0,G1362/Control!$B$17)</x:f>
        <x:v>1</x:v>
      </x:c>
      <x:c r="N1362" s="73" t="n">
        <x:f>IF(N1356&gt;0,N1356,IF(G1362&gt;=Control!$B$17,A1362,0))</x:f>
        <x:v>195</x:v>
      </x:c>
      <x:c r="O1362" s="91" t="n">
        <x:f>IF(N1362&gt;0,Control!$B$17+Control!$B$8+1-N1362,G1362)-B1362/100000</x:f>
        <x:v>715.99995</x:v>
      </x:c>
      <x:c r="P1362" s="73" t="n">
        <x:f>COUNTIF($O$1358:$O$1363,"&gt;"&amp;O1362)+1</x:f>
        <x:v>3</x:v>
      </x:c>
      <x:c r="Q1362" s="83" t="n">
        <x:f>MAX($G$1358:$G$1363)-G1362</x:f>
        <x:v>0</x:v>
      </x:c>
      <x:c r="R1362" s="73" t="str">
        <x:f>INDEX(TrackMap!$B$8:$B$141,H1362)</x:f>
        <x:v>发车大直道</x:v>
      </x:c>
    </x:row>
    <x:row r="1363" ht="20" customHeight="1">
      <x:c r="A1363" s="73" t="n">
        <x:v>225</x:v>
      </x:c>
      <x:c r="B1363" s="73" t="n">
        <x:v>6</x:v>
      </x:c>
      <x:c r="C1363" s="73" t="str">
        <x:f>INDEX(Drivers!$B$8:$B$13,B1363)</x:f>
        <x:v>玫速</x:v>
      </x:c>
      <x:c r="D1363" s="83" t="n">
        <x:f>G1357</x:f>
        <x:v>670</x:v>
      </x:c>
      <x:c r="E1363" s="83" t="str">
        <x:f>IF(A1363=0,"GRID",IF(D1363&gt;=Control!$B$17,"FINISHED",IF(AND(A1363&gt;=INDEX(Drivers!$G$8:$G$13,B1363),A1363&lt;INDEX(Drivers!$G$8:$G$13,B1363)+INDEX(Drivers!$J$8:$J$13,B1363)),"PIT",IF(MOD(A1363+INDEX(Drivers!$F$8:$F$13,B1363),Control!$B$11)&lt;Control!$B$13,"BOOST","RACE"))))</x:f>
        <x:v>FINISHED</x:v>
      </x:c>
      <x:c r="F1363" s="83" t="n">
        <x:f>IF(OR(E1363="GRID",E1363="FINISHED",E1363="PIT"),0,MAX(Control!$B$15,(INDEX(Drivers!$D$8:$D$13,B1363)+INDEX(Drivers!$E$8:$E$13,B1363)*SIN((A1363+INDEX(Drivers!$F$8:$F$13,B1363)+Control!$B$16)*Control!$B$14))*INDEX(TrackMap!$M$8:$M$141,MOD(INT(D1363)-1,Control!$B$7)+1)*IF(E1363="BOOST",Control!$B$12,1)))</x:f>
        <x:v>0</x:v>
      </x:c>
      <x:c r="G1363" s="83" t="n">
        <x:f>IF(A1363=0,D1363,MIN(Control!$B$17,D1363+F1363))</x:f>
        <x:v>670</x:v>
      </x:c>
      <x:c r="H1363" s="73" t="n">
        <x:f>MOD(INT(G1363)-1,Control!$B$7)+1</x:f>
        <x:v>134</x:v>
      </x:c>
      <x:c r="I1363" s="73" t="n">
        <x:f>MIN(Control!$B$6,MAX(1,INT(MAX(0,G1363)/Control!$B$7)+1))</x:f>
        <x:v>5</x:v>
      </x:c>
      <x:c r="J1363" s="73" t="n">
        <x:f>INDEX(Drivers!$H$8:$H$13,B1363)</x:f>
        <x:v>2</x:v>
      </x:c>
      <x:c r="K1363" s="73" t="n">
        <x:f>IF(J1363=1,INDEX(TrackMap!$I$8:$I$141,H1363),INDEX(TrackMap!$L$8:$L$141,H1363))</x:f>
        <x:v>3017</x:v>
      </x:c>
      <x:c r="L1363" s="73" t="str">
        <x:f>INDEX(TrackMap!$F$8:$F$141,H1363)</x:f>
        <x:v>←</x:v>
      </x:c>
      <x:c r="M1363" s="87" t="n">
        <x:f>MAX(0,G1363/Control!$B$17)</x:f>
        <x:v>1</x:v>
      </x:c>
      <x:c r="N1363" s="73" t="n">
        <x:f>IF(N1357&gt;0,N1357,IF(G1363&gt;=Control!$B$17,A1363,0))</x:f>
        <x:v>196</x:v>
      </x:c>
      <x:c r="O1363" s="91" t="n">
        <x:f>IF(N1363&gt;0,Control!$B$17+Control!$B$8+1-N1363,G1363)-B1363/100000</x:f>
        <x:v>714.99994</x:v>
      </x:c>
      <x:c r="P1363" s="73" t="n">
        <x:f>COUNTIF($O$1358:$O$1363,"&gt;"&amp;O1363)+1</x:f>
        <x:v>4</x:v>
      </x:c>
      <x:c r="Q1363" s="83" t="n">
        <x:f>MAX($G$1358:$G$1363)-G1363</x:f>
        <x:v>0</x:v>
      </x:c>
      <x:c r="R1363" s="73" t="str">
        <x:f>INDEX(TrackMap!$B$8:$B$141,H1363)</x:f>
        <x:v>发车大直道</x:v>
      </x:c>
    </x:row>
    <x:row r="1364" ht="20" customHeight="1">
      <x:c r="A1364" s="73" t="n">
        <x:v>226</x:v>
      </x:c>
      <x:c r="B1364" s="73" t="n">
        <x:v>1</x:v>
      </x:c>
      <x:c r="C1364" s="73" t="str">
        <x:f>INDEX(Drivers!$B$8:$B$13,B1364)</x:f>
        <x:v>赤焰</x:v>
      </x:c>
      <x:c r="D1364" s="83" t="n">
        <x:f>G1358</x:f>
        <x:v>670</x:v>
      </x:c>
      <x:c r="E1364" s="83" t="str">
        <x:f>IF(A1364=0,"GRID",IF(D1364&gt;=Control!$B$17,"FINISHED",IF(AND(A1364&gt;=INDEX(Drivers!$G$8:$G$13,B1364),A1364&lt;INDEX(Drivers!$G$8:$G$13,B1364)+INDEX(Drivers!$J$8:$J$13,B1364)),"PIT",IF(MOD(A1364+INDEX(Drivers!$F$8:$F$13,B1364),Control!$B$11)&lt;Control!$B$13,"BOOST","RACE"))))</x:f>
        <x:v>FINISHED</x:v>
      </x:c>
      <x:c r="F1364" s="83" t="n">
        <x:f>IF(OR(E1364="GRID",E1364="FINISHED",E1364="PIT"),0,MAX(Control!$B$15,(INDEX(Drivers!$D$8:$D$13,B1364)+INDEX(Drivers!$E$8:$E$13,B1364)*SIN((A1364+INDEX(Drivers!$F$8:$F$13,B1364)+Control!$B$16)*Control!$B$14))*INDEX(TrackMap!$M$8:$M$141,MOD(INT(D1364)-1,Control!$B$7)+1)*IF(E1364="BOOST",Control!$B$12,1)))</x:f>
        <x:v>0</x:v>
      </x:c>
      <x:c r="G1364" s="83" t="n">
        <x:f>IF(A1364=0,D1364,MIN(Control!$B$17,D1364+F1364))</x:f>
        <x:v>670</x:v>
      </x:c>
      <x:c r="H1364" s="73" t="n">
        <x:f>MOD(INT(G1364)-1,Control!$B$7)+1</x:f>
        <x:v>134</x:v>
      </x:c>
      <x:c r="I1364" s="73" t="n">
        <x:f>MIN(Control!$B$6,MAX(1,INT(MAX(0,G1364)/Control!$B$7)+1))</x:f>
        <x:v>5</x:v>
      </x:c>
      <x:c r="J1364" s="73" t="n">
        <x:f>INDEX(Drivers!$H$8:$H$13,B1364)</x:f>
        <x:v>1</x:v>
      </x:c>
      <x:c r="K1364" s="73" t="n">
        <x:f>IF(J1364=1,INDEX(TrackMap!$I$8:$I$141,H1364),INDEX(TrackMap!$L$8:$L$141,H1364))</x:f>
        <x:v>3117</x:v>
      </x:c>
      <x:c r="L1364" s="73" t="str">
        <x:f>INDEX(TrackMap!$F$8:$F$141,H1364)</x:f>
        <x:v>←</x:v>
      </x:c>
      <x:c r="M1364" s="87" t="n">
        <x:f>MAX(0,G1364/Control!$B$17)</x:f>
        <x:v>1</x:v>
      </x:c>
      <x:c r="N1364" s="73" t="n">
        <x:f>IF(N1358&gt;0,N1358,IF(G1364&gt;=Control!$B$17,A1364,0))</x:f>
        <x:v>194</x:v>
      </x:c>
      <x:c r="O1364" s="91" t="n">
        <x:f>IF(N1364&gt;0,Control!$B$17+Control!$B$8+1-N1364,G1364)-B1364/100000</x:f>
        <x:v>716.99999</x:v>
      </x:c>
      <x:c r="P1364" s="73" t="n">
        <x:f>COUNTIF($O$1364:$O$1369,"&gt;"&amp;O1364)+1</x:f>
        <x:v>1</x:v>
      </x:c>
      <x:c r="Q1364" s="83" t="n">
        <x:f>MAX($G$1364:$G$1369)-G1364</x:f>
        <x:v>0</x:v>
      </x:c>
      <x:c r="R1364" s="73" t="str">
        <x:f>INDEX(TrackMap!$B$8:$B$141,H1364)</x:f>
        <x:v>发车大直道</x:v>
      </x:c>
    </x:row>
    <x:row r="1365" ht="20" customHeight="1">
      <x:c r="A1365" s="73" t="n">
        <x:v>226</x:v>
      </x:c>
      <x:c r="B1365" s="73" t="n">
        <x:v>2</x:v>
      </x:c>
      <x:c r="C1365" s="73" t="str">
        <x:f>INDEX(Drivers!$B$8:$B$13,B1365)</x:f>
        <x:v>蓝电</x:v>
      </x:c>
      <x:c r="D1365" s="83" t="n">
        <x:f>G1359</x:f>
        <x:v>670</x:v>
      </x:c>
      <x:c r="E1365" s="83" t="str">
        <x:f>IF(A1365=0,"GRID",IF(D1365&gt;=Control!$B$17,"FINISHED",IF(AND(A1365&gt;=INDEX(Drivers!$G$8:$G$13,B1365),A1365&lt;INDEX(Drivers!$G$8:$G$13,B1365)+INDEX(Drivers!$J$8:$J$13,B1365)),"PIT",IF(MOD(A1365+INDEX(Drivers!$F$8:$F$13,B1365),Control!$B$11)&lt;Control!$B$13,"BOOST","RACE"))))</x:f>
        <x:v>FINISHED</x:v>
      </x:c>
      <x:c r="F1365" s="83" t="n">
        <x:f>IF(OR(E1365="GRID",E1365="FINISHED",E1365="PIT"),0,MAX(Control!$B$15,(INDEX(Drivers!$D$8:$D$13,B1365)+INDEX(Drivers!$E$8:$E$13,B1365)*SIN((A1365+INDEX(Drivers!$F$8:$F$13,B1365)+Control!$B$16)*Control!$B$14))*INDEX(TrackMap!$M$8:$M$141,MOD(INT(D1365)-1,Control!$B$7)+1)*IF(E1365="BOOST",Control!$B$12,1)))</x:f>
        <x:v>0</x:v>
      </x:c>
      <x:c r="G1365" s="83" t="n">
        <x:f>IF(A1365=0,D1365,MIN(Control!$B$17,D1365+F1365))</x:f>
        <x:v>670</x:v>
      </x:c>
      <x:c r="H1365" s="73" t="n">
        <x:f>MOD(INT(G1365)-1,Control!$B$7)+1</x:f>
        <x:v>134</x:v>
      </x:c>
      <x:c r="I1365" s="73" t="n">
        <x:f>MIN(Control!$B$6,MAX(1,INT(MAX(0,G1365)/Control!$B$7)+1))</x:f>
        <x:v>5</x:v>
      </x:c>
      <x:c r="J1365" s="73" t="n">
        <x:f>INDEX(Drivers!$H$8:$H$13,B1365)</x:f>
        <x:v>2</x:v>
      </x:c>
      <x:c r="K1365" s="73" t="n">
        <x:f>IF(J1365=1,INDEX(TrackMap!$I$8:$I$141,H1365),INDEX(TrackMap!$L$8:$L$141,H1365))</x:f>
        <x:v>3017</x:v>
      </x:c>
      <x:c r="L1365" s="73" t="str">
        <x:f>INDEX(TrackMap!$F$8:$F$141,H1365)</x:f>
        <x:v>←</x:v>
      </x:c>
      <x:c r="M1365" s="87" t="n">
        <x:f>MAX(0,G1365/Control!$B$17)</x:f>
        <x:v>1</x:v>
      </x:c>
      <x:c r="N1365" s="73" t="n">
        <x:f>IF(N1359&gt;0,N1359,IF(G1365&gt;=Control!$B$17,A1365,0))</x:f>
        <x:v>201</x:v>
      </x:c>
      <x:c r="O1365" s="91" t="n">
        <x:f>IF(N1365&gt;0,Control!$B$17+Control!$B$8+1-N1365,G1365)-B1365/100000</x:f>
        <x:v>709.99998</x:v>
      </x:c>
      <x:c r="P1365" s="73" t="n">
        <x:f>COUNTIF($O$1364:$O$1369,"&gt;"&amp;O1365)+1</x:f>
        <x:v>6</x:v>
      </x:c>
      <x:c r="Q1365" s="83" t="n">
        <x:f>MAX($G$1364:$G$1369)-G1365</x:f>
        <x:v>0</x:v>
      </x:c>
      <x:c r="R1365" s="73" t="str">
        <x:f>INDEX(TrackMap!$B$8:$B$141,H1365)</x:f>
        <x:v>发车大直道</x:v>
      </x:c>
    </x:row>
    <x:row r="1366" ht="20" customHeight="1">
      <x:c r="A1366" s="73" t="n">
        <x:v>226</x:v>
      </x:c>
      <x:c r="B1366" s="73" t="n">
        <x:v>3</x:v>
      </x:c>
      <x:c r="C1366" s="73" t="str">
        <x:f>INDEX(Drivers!$B$8:$B$13,B1366)</x:f>
        <x:v>金翼</x:v>
      </x:c>
      <x:c r="D1366" s="83" t="n">
        <x:f>G1360</x:f>
        <x:v>670</x:v>
      </x:c>
      <x:c r="E1366" s="83" t="str">
        <x:f>IF(A1366=0,"GRID",IF(D1366&gt;=Control!$B$17,"FINISHED",IF(AND(A1366&gt;=INDEX(Drivers!$G$8:$G$13,B1366),A1366&lt;INDEX(Drivers!$G$8:$G$13,B1366)+INDEX(Drivers!$J$8:$J$13,B1366)),"PIT",IF(MOD(A1366+INDEX(Drivers!$F$8:$F$13,B1366),Control!$B$11)&lt;Control!$B$13,"BOOST","RACE"))))</x:f>
        <x:v>FINISHED</x:v>
      </x:c>
      <x:c r="F1366" s="83" t="n">
        <x:f>IF(OR(E1366="GRID",E1366="FINISHED",E1366="PIT"),0,MAX(Control!$B$15,(INDEX(Drivers!$D$8:$D$13,B1366)+INDEX(Drivers!$E$8:$E$13,B1366)*SIN((A1366+INDEX(Drivers!$F$8:$F$13,B1366)+Control!$B$16)*Control!$B$14))*INDEX(TrackMap!$M$8:$M$141,MOD(INT(D1366)-1,Control!$B$7)+1)*IF(E1366="BOOST",Control!$B$12,1)))</x:f>
        <x:v>0</x:v>
      </x:c>
      <x:c r="G1366" s="83" t="n">
        <x:f>IF(A1366=0,D1366,MIN(Control!$B$17,D1366+F1366))</x:f>
        <x:v>670</x:v>
      </x:c>
      <x:c r="H1366" s="73" t="n">
        <x:f>MOD(INT(G1366)-1,Control!$B$7)+1</x:f>
        <x:v>134</x:v>
      </x:c>
      <x:c r="I1366" s="73" t="n">
        <x:f>MIN(Control!$B$6,MAX(1,INT(MAX(0,G1366)/Control!$B$7)+1))</x:f>
        <x:v>5</x:v>
      </x:c>
      <x:c r="J1366" s="73" t="n">
        <x:f>INDEX(Drivers!$H$8:$H$13,B1366)</x:f>
        <x:v>1</x:v>
      </x:c>
      <x:c r="K1366" s="73" t="n">
        <x:f>IF(J1366=1,INDEX(TrackMap!$I$8:$I$141,H1366),INDEX(TrackMap!$L$8:$L$141,H1366))</x:f>
        <x:v>3117</x:v>
      </x:c>
      <x:c r="L1366" s="73" t="str">
        <x:f>INDEX(TrackMap!$F$8:$F$141,H1366)</x:f>
        <x:v>←</x:v>
      </x:c>
      <x:c r="M1366" s="87" t="n">
        <x:f>MAX(0,G1366/Control!$B$17)</x:f>
        <x:v>1</x:v>
      </x:c>
      <x:c r="N1366" s="73" t="n">
        <x:f>IF(N1360&gt;0,N1360,IF(G1366&gt;=Control!$B$17,A1366,0))</x:f>
        <x:v>195</x:v>
      </x:c>
      <x:c r="O1366" s="91" t="n">
        <x:f>IF(N1366&gt;0,Control!$B$17+Control!$B$8+1-N1366,G1366)-B1366/100000</x:f>
        <x:v>715.99997</x:v>
      </x:c>
      <x:c r="P1366" s="73" t="n">
        <x:f>COUNTIF($O$1364:$O$1369,"&gt;"&amp;O1366)+1</x:f>
        <x:v>2</x:v>
      </x:c>
      <x:c r="Q1366" s="83" t="n">
        <x:f>MAX($G$1364:$G$1369)-G1366</x:f>
        <x:v>0</x:v>
      </x:c>
      <x:c r="R1366" s="73" t="str">
        <x:f>INDEX(TrackMap!$B$8:$B$141,H1366)</x:f>
        <x:v>发车大直道</x:v>
      </x:c>
    </x:row>
    <x:row r="1367" ht="20" customHeight="1">
      <x:c r="A1367" s="73" t="n">
        <x:v>226</x:v>
      </x:c>
      <x:c r="B1367" s="73" t="n">
        <x:v>4</x:v>
      </x:c>
      <x:c r="C1367" s="73" t="str">
        <x:f>INDEX(Drivers!$B$8:$B$13,B1367)</x:f>
        <x:v>紫影</x:v>
      </x:c>
      <x:c r="D1367" s="83" t="n">
        <x:f>G1361</x:f>
        <x:v>670</x:v>
      </x:c>
      <x:c r="E1367" s="83" t="str">
        <x:f>IF(A1367=0,"GRID",IF(D1367&gt;=Control!$B$17,"FINISHED",IF(AND(A1367&gt;=INDEX(Drivers!$G$8:$G$13,B1367),A1367&lt;INDEX(Drivers!$G$8:$G$13,B1367)+INDEX(Drivers!$J$8:$J$13,B1367)),"PIT",IF(MOD(A1367+INDEX(Drivers!$F$8:$F$13,B1367),Control!$B$11)&lt;Control!$B$13,"BOOST","RACE"))))</x:f>
        <x:v>FINISHED</x:v>
      </x:c>
      <x:c r="F1367" s="83" t="n">
        <x:f>IF(OR(E1367="GRID",E1367="FINISHED",E1367="PIT"),0,MAX(Control!$B$15,(INDEX(Drivers!$D$8:$D$13,B1367)+INDEX(Drivers!$E$8:$E$13,B1367)*SIN((A1367+INDEX(Drivers!$F$8:$F$13,B1367)+Control!$B$16)*Control!$B$14))*INDEX(TrackMap!$M$8:$M$141,MOD(INT(D1367)-1,Control!$B$7)+1)*IF(E1367="BOOST",Control!$B$12,1)))</x:f>
        <x:v>0</x:v>
      </x:c>
      <x:c r="G1367" s="83" t="n">
        <x:f>IF(A1367=0,D1367,MIN(Control!$B$17,D1367+F1367))</x:f>
        <x:v>670</x:v>
      </x:c>
      <x:c r="H1367" s="73" t="n">
        <x:f>MOD(INT(G1367)-1,Control!$B$7)+1</x:f>
        <x:v>134</x:v>
      </x:c>
      <x:c r="I1367" s="73" t="n">
        <x:f>MIN(Control!$B$6,MAX(1,INT(MAX(0,G1367)/Control!$B$7)+1))</x:f>
        <x:v>5</x:v>
      </x:c>
      <x:c r="J1367" s="73" t="n">
        <x:f>INDEX(Drivers!$H$8:$H$13,B1367)</x:f>
        <x:v>2</x:v>
      </x:c>
      <x:c r="K1367" s="73" t="n">
        <x:f>IF(J1367=1,INDEX(TrackMap!$I$8:$I$141,H1367),INDEX(TrackMap!$L$8:$L$141,H1367))</x:f>
        <x:v>3017</x:v>
      </x:c>
      <x:c r="L1367" s="73" t="str">
        <x:f>INDEX(TrackMap!$F$8:$F$141,H1367)</x:f>
        <x:v>←</x:v>
      </x:c>
      <x:c r="M1367" s="87" t="n">
        <x:f>MAX(0,G1367/Control!$B$17)</x:f>
        <x:v>1</x:v>
      </x:c>
      <x:c r="N1367" s="73" t="n">
        <x:f>IF(N1361&gt;0,N1361,IF(G1367&gt;=Control!$B$17,A1367,0))</x:f>
        <x:v>198</x:v>
      </x:c>
      <x:c r="O1367" s="91" t="n">
        <x:f>IF(N1367&gt;0,Control!$B$17+Control!$B$8+1-N1367,G1367)-B1367/100000</x:f>
        <x:v>712.99996</x:v>
      </x:c>
      <x:c r="P1367" s="73" t="n">
        <x:f>COUNTIF($O$1364:$O$1369,"&gt;"&amp;O1367)+1</x:f>
        <x:v>5</x:v>
      </x:c>
      <x:c r="Q1367" s="83" t="n">
        <x:f>MAX($G$1364:$G$1369)-G1367</x:f>
        <x:v>0</x:v>
      </x:c>
      <x:c r="R1367" s="73" t="str">
        <x:f>INDEX(TrackMap!$B$8:$B$141,H1367)</x:f>
        <x:v>发车大直道</x:v>
      </x:c>
    </x:row>
    <x:row r="1368" ht="20" customHeight="1">
      <x:c r="A1368" s="73" t="n">
        <x:v>226</x:v>
      </x:c>
      <x:c r="B1368" s="73" t="n">
        <x:v>5</x:v>
      </x:c>
      <x:c r="C1368" s="73" t="str">
        <x:f>INDEX(Drivers!$B$8:$B$13,B1368)</x:f>
        <x:v>青锋</x:v>
      </x:c>
      <x:c r="D1368" s="83" t="n">
        <x:f>G1362</x:f>
        <x:v>670</x:v>
      </x:c>
      <x:c r="E1368" s="83" t="str">
        <x:f>IF(A1368=0,"GRID",IF(D1368&gt;=Control!$B$17,"FINISHED",IF(AND(A1368&gt;=INDEX(Drivers!$G$8:$G$13,B1368),A1368&lt;INDEX(Drivers!$G$8:$G$13,B1368)+INDEX(Drivers!$J$8:$J$13,B1368)),"PIT",IF(MOD(A1368+INDEX(Drivers!$F$8:$F$13,B1368),Control!$B$11)&lt;Control!$B$13,"BOOST","RACE"))))</x:f>
        <x:v>FINISHED</x:v>
      </x:c>
      <x:c r="F1368" s="83" t="n">
        <x:f>IF(OR(E1368="GRID",E1368="FINISHED",E1368="PIT"),0,MAX(Control!$B$15,(INDEX(Drivers!$D$8:$D$13,B1368)+INDEX(Drivers!$E$8:$E$13,B1368)*SIN((A1368+INDEX(Drivers!$F$8:$F$13,B1368)+Control!$B$16)*Control!$B$14))*INDEX(TrackMap!$M$8:$M$141,MOD(INT(D1368)-1,Control!$B$7)+1)*IF(E1368="BOOST",Control!$B$12,1)))</x:f>
        <x:v>0</x:v>
      </x:c>
      <x:c r="G1368" s="83" t="n">
        <x:f>IF(A1368=0,D1368,MIN(Control!$B$17,D1368+F1368))</x:f>
        <x:v>670</x:v>
      </x:c>
      <x:c r="H1368" s="73" t="n">
        <x:f>MOD(INT(G1368)-1,Control!$B$7)+1</x:f>
        <x:v>134</x:v>
      </x:c>
      <x:c r="I1368" s="73" t="n">
        <x:f>MIN(Control!$B$6,MAX(1,INT(MAX(0,G1368)/Control!$B$7)+1))</x:f>
        <x:v>5</x:v>
      </x:c>
      <x:c r="J1368" s="73" t="n">
        <x:f>INDEX(Drivers!$H$8:$H$13,B1368)</x:f>
        <x:v>1</x:v>
      </x:c>
      <x:c r="K1368" s="73" t="n">
        <x:f>IF(J1368=1,INDEX(TrackMap!$I$8:$I$141,H1368),INDEX(TrackMap!$L$8:$L$141,H1368))</x:f>
        <x:v>3117</x:v>
      </x:c>
      <x:c r="L1368" s="73" t="str">
        <x:f>INDEX(TrackMap!$F$8:$F$141,H1368)</x:f>
        <x:v>←</x:v>
      </x:c>
      <x:c r="M1368" s="87" t="n">
        <x:f>MAX(0,G1368/Control!$B$17)</x:f>
        <x:v>1</x:v>
      </x:c>
      <x:c r="N1368" s="73" t="n">
        <x:f>IF(N1362&gt;0,N1362,IF(G1368&gt;=Control!$B$17,A1368,0))</x:f>
        <x:v>195</x:v>
      </x:c>
      <x:c r="O1368" s="91" t="n">
        <x:f>IF(N1368&gt;0,Control!$B$17+Control!$B$8+1-N1368,G1368)-B1368/100000</x:f>
        <x:v>715.99995</x:v>
      </x:c>
      <x:c r="P1368" s="73" t="n">
        <x:f>COUNTIF($O$1364:$O$1369,"&gt;"&amp;O1368)+1</x:f>
        <x:v>3</x:v>
      </x:c>
      <x:c r="Q1368" s="83" t="n">
        <x:f>MAX($G$1364:$G$1369)-G1368</x:f>
        <x:v>0</x:v>
      </x:c>
      <x:c r="R1368" s="73" t="str">
        <x:f>INDEX(TrackMap!$B$8:$B$141,H1368)</x:f>
        <x:v>发车大直道</x:v>
      </x:c>
    </x:row>
    <x:row r="1369" ht="20" customHeight="1">
      <x:c r="A1369" s="73" t="n">
        <x:v>226</x:v>
      </x:c>
      <x:c r="B1369" s="73" t="n">
        <x:v>6</x:v>
      </x:c>
      <x:c r="C1369" s="73" t="str">
        <x:f>INDEX(Drivers!$B$8:$B$13,B1369)</x:f>
        <x:v>玫速</x:v>
      </x:c>
      <x:c r="D1369" s="83" t="n">
        <x:f>G1363</x:f>
        <x:v>670</x:v>
      </x:c>
      <x:c r="E1369" s="83" t="str">
        <x:f>IF(A1369=0,"GRID",IF(D1369&gt;=Control!$B$17,"FINISHED",IF(AND(A1369&gt;=INDEX(Drivers!$G$8:$G$13,B1369),A1369&lt;INDEX(Drivers!$G$8:$G$13,B1369)+INDEX(Drivers!$J$8:$J$13,B1369)),"PIT",IF(MOD(A1369+INDEX(Drivers!$F$8:$F$13,B1369),Control!$B$11)&lt;Control!$B$13,"BOOST","RACE"))))</x:f>
        <x:v>FINISHED</x:v>
      </x:c>
      <x:c r="F1369" s="83" t="n">
        <x:f>IF(OR(E1369="GRID",E1369="FINISHED",E1369="PIT"),0,MAX(Control!$B$15,(INDEX(Drivers!$D$8:$D$13,B1369)+INDEX(Drivers!$E$8:$E$13,B1369)*SIN((A1369+INDEX(Drivers!$F$8:$F$13,B1369)+Control!$B$16)*Control!$B$14))*INDEX(TrackMap!$M$8:$M$141,MOD(INT(D1369)-1,Control!$B$7)+1)*IF(E1369="BOOST",Control!$B$12,1)))</x:f>
        <x:v>0</x:v>
      </x:c>
      <x:c r="G1369" s="83" t="n">
        <x:f>IF(A1369=0,D1369,MIN(Control!$B$17,D1369+F1369))</x:f>
        <x:v>670</x:v>
      </x:c>
      <x:c r="H1369" s="73" t="n">
        <x:f>MOD(INT(G1369)-1,Control!$B$7)+1</x:f>
        <x:v>134</x:v>
      </x:c>
      <x:c r="I1369" s="73" t="n">
        <x:f>MIN(Control!$B$6,MAX(1,INT(MAX(0,G1369)/Control!$B$7)+1))</x:f>
        <x:v>5</x:v>
      </x:c>
      <x:c r="J1369" s="73" t="n">
        <x:f>INDEX(Drivers!$H$8:$H$13,B1369)</x:f>
        <x:v>2</x:v>
      </x:c>
      <x:c r="K1369" s="73" t="n">
        <x:f>IF(J1369=1,INDEX(TrackMap!$I$8:$I$141,H1369),INDEX(TrackMap!$L$8:$L$141,H1369))</x:f>
        <x:v>3017</x:v>
      </x:c>
      <x:c r="L1369" s="73" t="str">
        <x:f>INDEX(TrackMap!$F$8:$F$141,H1369)</x:f>
        <x:v>←</x:v>
      </x:c>
      <x:c r="M1369" s="87" t="n">
        <x:f>MAX(0,G1369/Control!$B$17)</x:f>
        <x:v>1</x:v>
      </x:c>
      <x:c r="N1369" s="73" t="n">
        <x:f>IF(N1363&gt;0,N1363,IF(G1369&gt;=Control!$B$17,A1369,0))</x:f>
        <x:v>196</x:v>
      </x:c>
      <x:c r="O1369" s="91" t="n">
        <x:f>IF(N1369&gt;0,Control!$B$17+Control!$B$8+1-N1369,G1369)-B1369/100000</x:f>
        <x:v>714.99994</x:v>
      </x:c>
      <x:c r="P1369" s="73" t="n">
        <x:f>COUNTIF($O$1364:$O$1369,"&gt;"&amp;O1369)+1</x:f>
        <x:v>4</x:v>
      </x:c>
      <x:c r="Q1369" s="83" t="n">
        <x:f>MAX($G$1364:$G$1369)-G1369</x:f>
        <x:v>0</x:v>
      </x:c>
      <x:c r="R1369" s="73" t="str">
        <x:f>INDEX(TrackMap!$B$8:$B$141,H1369)</x:f>
        <x:v>发车大直道</x:v>
      </x:c>
    </x:row>
    <x:row r="1370" ht="20" customHeight="1">
      <x:c r="A1370" s="73" t="n">
        <x:v>227</x:v>
      </x:c>
      <x:c r="B1370" s="73" t="n">
        <x:v>1</x:v>
      </x:c>
      <x:c r="C1370" s="73" t="str">
        <x:f>INDEX(Drivers!$B$8:$B$13,B1370)</x:f>
        <x:v>赤焰</x:v>
      </x:c>
      <x:c r="D1370" s="83" t="n">
        <x:f>G1364</x:f>
        <x:v>670</x:v>
      </x:c>
      <x:c r="E1370" s="83" t="str">
        <x:f>IF(A1370=0,"GRID",IF(D1370&gt;=Control!$B$17,"FINISHED",IF(AND(A1370&gt;=INDEX(Drivers!$G$8:$G$13,B1370),A1370&lt;INDEX(Drivers!$G$8:$G$13,B1370)+INDEX(Drivers!$J$8:$J$13,B1370)),"PIT",IF(MOD(A1370+INDEX(Drivers!$F$8:$F$13,B1370),Control!$B$11)&lt;Control!$B$13,"BOOST","RACE"))))</x:f>
        <x:v>FINISHED</x:v>
      </x:c>
      <x:c r="F1370" s="83" t="n">
        <x:f>IF(OR(E1370="GRID",E1370="FINISHED",E1370="PIT"),0,MAX(Control!$B$15,(INDEX(Drivers!$D$8:$D$13,B1370)+INDEX(Drivers!$E$8:$E$13,B1370)*SIN((A1370+INDEX(Drivers!$F$8:$F$13,B1370)+Control!$B$16)*Control!$B$14))*INDEX(TrackMap!$M$8:$M$141,MOD(INT(D1370)-1,Control!$B$7)+1)*IF(E1370="BOOST",Control!$B$12,1)))</x:f>
        <x:v>0</x:v>
      </x:c>
      <x:c r="G1370" s="83" t="n">
        <x:f>IF(A1370=0,D1370,MIN(Control!$B$17,D1370+F1370))</x:f>
        <x:v>670</x:v>
      </x:c>
      <x:c r="H1370" s="73" t="n">
        <x:f>MOD(INT(G1370)-1,Control!$B$7)+1</x:f>
        <x:v>134</x:v>
      </x:c>
      <x:c r="I1370" s="73" t="n">
        <x:f>MIN(Control!$B$6,MAX(1,INT(MAX(0,G1370)/Control!$B$7)+1))</x:f>
        <x:v>5</x:v>
      </x:c>
      <x:c r="J1370" s="73" t="n">
        <x:f>INDEX(Drivers!$H$8:$H$13,B1370)</x:f>
        <x:v>1</x:v>
      </x:c>
      <x:c r="K1370" s="73" t="n">
        <x:f>IF(J1370=1,INDEX(TrackMap!$I$8:$I$141,H1370),INDEX(TrackMap!$L$8:$L$141,H1370))</x:f>
        <x:v>3117</x:v>
      </x:c>
      <x:c r="L1370" s="73" t="str">
        <x:f>INDEX(TrackMap!$F$8:$F$141,H1370)</x:f>
        <x:v>←</x:v>
      </x:c>
      <x:c r="M1370" s="87" t="n">
        <x:f>MAX(0,G1370/Control!$B$17)</x:f>
        <x:v>1</x:v>
      </x:c>
      <x:c r="N1370" s="73" t="n">
        <x:f>IF(N1364&gt;0,N1364,IF(G1370&gt;=Control!$B$17,A1370,0))</x:f>
        <x:v>194</x:v>
      </x:c>
      <x:c r="O1370" s="91" t="n">
        <x:f>IF(N1370&gt;0,Control!$B$17+Control!$B$8+1-N1370,G1370)-B1370/100000</x:f>
        <x:v>716.99999</x:v>
      </x:c>
      <x:c r="P1370" s="73" t="n">
        <x:f>COUNTIF($O$1370:$O$1375,"&gt;"&amp;O1370)+1</x:f>
        <x:v>1</x:v>
      </x:c>
      <x:c r="Q1370" s="83" t="n">
        <x:f>MAX($G$1370:$G$1375)-G1370</x:f>
        <x:v>0</x:v>
      </x:c>
      <x:c r="R1370" s="73" t="str">
        <x:f>INDEX(TrackMap!$B$8:$B$141,H1370)</x:f>
        <x:v>发车大直道</x:v>
      </x:c>
    </x:row>
    <x:row r="1371" ht="20" customHeight="1">
      <x:c r="A1371" s="73" t="n">
        <x:v>227</x:v>
      </x:c>
      <x:c r="B1371" s="73" t="n">
        <x:v>2</x:v>
      </x:c>
      <x:c r="C1371" s="73" t="str">
        <x:f>INDEX(Drivers!$B$8:$B$13,B1371)</x:f>
        <x:v>蓝电</x:v>
      </x:c>
      <x:c r="D1371" s="83" t="n">
        <x:f>G1365</x:f>
        <x:v>670</x:v>
      </x:c>
      <x:c r="E1371" s="83" t="str">
        <x:f>IF(A1371=0,"GRID",IF(D1371&gt;=Control!$B$17,"FINISHED",IF(AND(A1371&gt;=INDEX(Drivers!$G$8:$G$13,B1371),A1371&lt;INDEX(Drivers!$G$8:$G$13,B1371)+INDEX(Drivers!$J$8:$J$13,B1371)),"PIT",IF(MOD(A1371+INDEX(Drivers!$F$8:$F$13,B1371),Control!$B$11)&lt;Control!$B$13,"BOOST","RACE"))))</x:f>
        <x:v>FINISHED</x:v>
      </x:c>
      <x:c r="F1371" s="83" t="n">
        <x:f>IF(OR(E1371="GRID",E1371="FINISHED",E1371="PIT"),0,MAX(Control!$B$15,(INDEX(Drivers!$D$8:$D$13,B1371)+INDEX(Drivers!$E$8:$E$13,B1371)*SIN((A1371+INDEX(Drivers!$F$8:$F$13,B1371)+Control!$B$16)*Control!$B$14))*INDEX(TrackMap!$M$8:$M$141,MOD(INT(D1371)-1,Control!$B$7)+1)*IF(E1371="BOOST",Control!$B$12,1)))</x:f>
        <x:v>0</x:v>
      </x:c>
      <x:c r="G1371" s="83" t="n">
        <x:f>IF(A1371=0,D1371,MIN(Control!$B$17,D1371+F1371))</x:f>
        <x:v>670</x:v>
      </x:c>
      <x:c r="H1371" s="73" t="n">
        <x:f>MOD(INT(G1371)-1,Control!$B$7)+1</x:f>
        <x:v>134</x:v>
      </x:c>
      <x:c r="I1371" s="73" t="n">
        <x:f>MIN(Control!$B$6,MAX(1,INT(MAX(0,G1371)/Control!$B$7)+1))</x:f>
        <x:v>5</x:v>
      </x:c>
      <x:c r="J1371" s="73" t="n">
        <x:f>INDEX(Drivers!$H$8:$H$13,B1371)</x:f>
        <x:v>2</x:v>
      </x:c>
      <x:c r="K1371" s="73" t="n">
        <x:f>IF(J1371=1,INDEX(TrackMap!$I$8:$I$141,H1371),INDEX(TrackMap!$L$8:$L$141,H1371))</x:f>
        <x:v>3017</x:v>
      </x:c>
      <x:c r="L1371" s="73" t="str">
        <x:f>INDEX(TrackMap!$F$8:$F$141,H1371)</x:f>
        <x:v>←</x:v>
      </x:c>
      <x:c r="M1371" s="87" t="n">
        <x:f>MAX(0,G1371/Control!$B$17)</x:f>
        <x:v>1</x:v>
      </x:c>
      <x:c r="N1371" s="73" t="n">
        <x:f>IF(N1365&gt;0,N1365,IF(G1371&gt;=Control!$B$17,A1371,0))</x:f>
        <x:v>201</x:v>
      </x:c>
      <x:c r="O1371" s="91" t="n">
        <x:f>IF(N1371&gt;0,Control!$B$17+Control!$B$8+1-N1371,G1371)-B1371/100000</x:f>
        <x:v>709.99998</x:v>
      </x:c>
      <x:c r="P1371" s="73" t="n">
        <x:f>COUNTIF($O$1370:$O$1375,"&gt;"&amp;O1371)+1</x:f>
        <x:v>6</x:v>
      </x:c>
      <x:c r="Q1371" s="83" t="n">
        <x:f>MAX($G$1370:$G$1375)-G1371</x:f>
        <x:v>0</x:v>
      </x:c>
      <x:c r="R1371" s="73" t="str">
        <x:f>INDEX(TrackMap!$B$8:$B$141,H1371)</x:f>
        <x:v>发车大直道</x:v>
      </x:c>
    </x:row>
    <x:row r="1372" ht="20" customHeight="1">
      <x:c r="A1372" s="73" t="n">
        <x:v>227</x:v>
      </x:c>
      <x:c r="B1372" s="73" t="n">
        <x:v>3</x:v>
      </x:c>
      <x:c r="C1372" s="73" t="str">
        <x:f>INDEX(Drivers!$B$8:$B$13,B1372)</x:f>
        <x:v>金翼</x:v>
      </x:c>
      <x:c r="D1372" s="83" t="n">
        <x:f>G1366</x:f>
        <x:v>670</x:v>
      </x:c>
      <x:c r="E1372" s="83" t="str">
        <x:f>IF(A1372=0,"GRID",IF(D1372&gt;=Control!$B$17,"FINISHED",IF(AND(A1372&gt;=INDEX(Drivers!$G$8:$G$13,B1372),A1372&lt;INDEX(Drivers!$G$8:$G$13,B1372)+INDEX(Drivers!$J$8:$J$13,B1372)),"PIT",IF(MOD(A1372+INDEX(Drivers!$F$8:$F$13,B1372),Control!$B$11)&lt;Control!$B$13,"BOOST","RACE"))))</x:f>
        <x:v>FINISHED</x:v>
      </x:c>
      <x:c r="F1372" s="83" t="n">
        <x:f>IF(OR(E1372="GRID",E1372="FINISHED",E1372="PIT"),0,MAX(Control!$B$15,(INDEX(Drivers!$D$8:$D$13,B1372)+INDEX(Drivers!$E$8:$E$13,B1372)*SIN((A1372+INDEX(Drivers!$F$8:$F$13,B1372)+Control!$B$16)*Control!$B$14))*INDEX(TrackMap!$M$8:$M$141,MOD(INT(D1372)-1,Control!$B$7)+1)*IF(E1372="BOOST",Control!$B$12,1)))</x:f>
        <x:v>0</x:v>
      </x:c>
      <x:c r="G1372" s="83" t="n">
        <x:f>IF(A1372=0,D1372,MIN(Control!$B$17,D1372+F1372))</x:f>
        <x:v>670</x:v>
      </x:c>
      <x:c r="H1372" s="73" t="n">
        <x:f>MOD(INT(G1372)-1,Control!$B$7)+1</x:f>
        <x:v>134</x:v>
      </x:c>
      <x:c r="I1372" s="73" t="n">
        <x:f>MIN(Control!$B$6,MAX(1,INT(MAX(0,G1372)/Control!$B$7)+1))</x:f>
        <x:v>5</x:v>
      </x:c>
      <x:c r="J1372" s="73" t="n">
        <x:f>INDEX(Drivers!$H$8:$H$13,B1372)</x:f>
        <x:v>1</x:v>
      </x:c>
      <x:c r="K1372" s="73" t="n">
        <x:f>IF(J1372=1,INDEX(TrackMap!$I$8:$I$141,H1372),INDEX(TrackMap!$L$8:$L$141,H1372))</x:f>
        <x:v>3117</x:v>
      </x:c>
      <x:c r="L1372" s="73" t="str">
        <x:f>INDEX(TrackMap!$F$8:$F$141,H1372)</x:f>
        <x:v>←</x:v>
      </x:c>
      <x:c r="M1372" s="87" t="n">
        <x:f>MAX(0,G1372/Control!$B$17)</x:f>
        <x:v>1</x:v>
      </x:c>
      <x:c r="N1372" s="73" t="n">
        <x:f>IF(N1366&gt;0,N1366,IF(G1372&gt;=Control!$B$17,A1372,0))</x:f>
        <x:v>195</x:v>
      </x:c>
      <x:c r="O1372" s="91" t="n">
        <x:f>IF(N1372&gt;0,Control!$B$17+Control!$B$8+1-N1372,G1372)-B1372/100000</x:f>
        <x:v>715.99997</x:v>
      </x:c>
      <x:c r="P1372" s="73" t="n">
        <x:f>COUNTIF($O$1370:$O$1375,"&gt;"&amp;O1372)+1</x:f>
        <x:v>2</x:v>
      </x:c>
      <x:c r="Q1372" s="83" t="n">
        <x:f>MAX($G$1370:$G$1375)-G1372</x:f>
        <x:v>0</x:v>
      </x:c>
      <x:c r="R1372" s="73" t="str">
        <x:f>INDEX(TrackMap!$B$8:$B$141,H1372)</x:f>
        <x:v>发车大直道</x:v>
      </x:c>
    </x:row>
    <x:row r="1373" ht="20" customHeight="1">
      <x:c r="A1373" s="73" t="n">
        <x:v>227</x:v>
      </x:c>
      <x:c r="B1373" s="73" t="n">
        <x:v>4</x:v>
      </x:c>
      <x:c r="C1373" s="73" t="str">
        <x:f>INDEX(Drivers!$B$8:$B$13,B1373)</x:f>
        <x:v>紫影</x:v>
      </x:c>
      <x:c r="D1373" s="83" t="n">
        <x:f>G1367</x:f>
        <x:v>670</x:v>
      </x:c>
      <x:c r="E1373" s="83" t="str">
        <x:f>IF(A1373=0,"GRID",IF(D1373&gt;=Control!$B$17,"FINISHED",IF(AND(A1373&gt;=INDEX(Drivers!$G$8:$G$13,B1373),A1373&lt;INDEX(Drivers!$G$8:$G$13,B1373)+INDEX(Drivers!$J$8:$J$13,B1373)),"PIT",IF(MOD(A1373+INDEX(Drivers!$F$8:$F$13,B1373),Control!$B$11)&lt;Control!$B$13,"BOOST","RACE"))))</x:f>
        <x:v>FINISHED</x:v>
      </x:c>
      <x:c r="F1373" s="83" t="n">
        <x:f>IF(OR(E1373="GRID",E1373="FINISHED",E1373="PIT"),0,MAX(Control!$B$15,(INDEX(Drivers!$D$8:$D$13,B1373)+INDEX(Drivers!$E$8:$E$13,B1373)*SIN((A1373+INDEX(Drivers!$F$8:$F$13,B1373)+Control!$B$16)*Control!$B$14))*INDEX(TrackMap!$M$8:$M$141,MOD(INT(D1373)-1,Control!$B$7)+1)*IF(E1373="BOOST",Control!$B$12,1)))</x:f>
        <x:v>0</x:v>
      </x:c>
      <x:c r="G1373" s="83" t="n">
        <x:f>IF(A1373=0,D1373,MIN(Control!$B$17,D1373+F1373))</x:f>
        <x:v>670</x:v>
      </x:c>
      <x:c r="H1373" s="73" t="n">
        <x:f>MOD(INT(G1373)-1,Control!$B$7)+1</x:f>
        <x:v>134</x:v>
      </x:c>
      <x:c r="I1373" s="73" t="n">
        <x:f>MIN(Control!$B$6,MAX(1,INT(MAX(0,G1373)/Control!$B$7)+1))</x:f>
        <x:v>5</x:v>
      </x:c>
      <x:c r="J1373" s="73" t="n">
        <x:f>INDEX(Drivers!$H$8:$H$13,B1373)</x:f>
        <x:v>2</x:v>
      </x:c>
      <x:c r="K1373" s="73" t="n">
        <x:f>IF(J1373=1,INDEX(TrackMap!$I$8:$I$141,H1373),INDEX(TrackMap!$L$8:$L$141,H1373))</x:f>
        <x:v>3017</x:v>
      </x:c>
      <x:c r="L1373" s="73" t="str">
        <x:f>INDEX(TrackMap!$F$8:$F$141,H1373)</x:f>
        <x:v>←</x:v>
      </x:c>
      <x:c r="M1373" s="87" t="n">
        <x:f>MAX(0,G1373/Control!$B$17)</x:f>
        <x:v>1</x:v>
      </x:c>
      <x:c r="N1373" s="73" t="n">
        <x:f>IF(N1367&gt;0,N1367,IF(G1373&gt;=Control!$B$17,A1373,0))</x:f>
        <x:v>198</x:v>
      </x:c>
      <x:c r="O1373" s="91" t="n">
        <x:f>IF(N1373&gt;0,Control!$B$17+Control!$B$8+1-N1373,G1373)-B1373/100000</x:f>
        <x:v>712.99996</x:v>
      </x:c>
      <x:c r="P1373" s="73" t="n">
        <x:f>COUNTIF($O$1370:$O$1375,"&gt;"&amp;O1373)+1</x:f>
        <x:v>5</x:v>
      </x:c>
      <x:c r="Q1373" s="83" t="n">
        <x:f>MAX($G$1370:$G$1375)-G1373</x:f>
        <x:v>0</x:v>
      </x:c>
      <x:c r="R1373" s="73" t="str">
        <x:f>INDEX(TrackMap!$B$8:$B$141,H1373)</x:f>
        <x:v>发车大直道</x:v>
      </x:c>
    </x:row>
    <x:row r="1374" ht="20" customHeight="1">
      <x:c r="A1374" s="73" t="n">
        <x:v>227</x:v>
      </x:c>
      <x:c r="B1374" s="73" t="n">
        <x:v>5</x:v>
      </x:c>
      <x:c r="C1374" s="73" t="str">
        <x:f>INDEX(Drivers!$B$8:$B$13,B1374)</x:f>
        <x:v>青锋</x:v>
      </x:c>
      <x:c r="D1374" s="83" t="n">
        <x:f>G1368</x:f>
        <x:v>670</x:v>
      </x:c>
      <x:c r="E1374" s="83" t="str">
        <x:f>IF(A1374=0,"GRID",IF(D1374&gt;=Control!$B$17,"FINISHED",IF(AND(A1374&gt;=INDEX(Drivers!$G$8:$G$13,B1374),A1374&lt;INDEX(Drivers!$G$8:$G$13,B1374)+INDEX(Drivers!$J$8:$J$13,B1374)),"PIT",IF(MOD(A1374+INDEX(Drivers!$F$8:$F$13,B1374),Control!$B$11)&lt;Control!$B$13,"BOOST","RACE"))))</x:f>
        <x:v>FINISHED</x:v>
      </x:c>
      <x:c r="F1374" s="83" t="n">
        <x:f>IF(OR(E1374="GRID",E1374="FINISHED",E1374="PIT"),0,MAX(Control!$B$15,(INDEX(Drivers!$D$8:$D$13,B1374)+INDEX(Drivers!$E$8:$E$13,B1374)*SIN((A1374+INDEX(Drivers!$F$8:$F$13,B1374)+Control!$B$16)*Control!$B$14))*INDEX(TrackMap!$M$8:$M$141,MOD(INT(D1374)-1,Control!$B$7)+1)*IF(E1374="BOOST",Control!$B$12,1)))</x:f>
        <x:v>0</x:v>
      </x:c>
      <x:c r="G1374" s="83" t="n">
        <x:f>IF(A1374=0,D1374,MIN(Control!$B$17,D1374+F1374))</x:f>
        <x:v>670</x:v>
      </x:c>
      <x:c r="H1374" s="73" t="n">
        <x:f>MOD(INT(G1374)-1,Control!$B$7)+1</x:f>
        <x:v>134</x:v>
      </x:c>
      <x:c r="I1374" s="73" t="n">
        <x:f>MIN(Control!$B$6,MAX(1,INT(MAX(0,G1374)/Control!$B$7)+1))</x:f>
        <x:v>5</x:v>
      </x:c>
      <x:c r="J1374" s="73" t="n">
        <x:f>INDEX(Drivers!$H$8:$H$13,B1374)</x:f>
        <x:v>1</x:v>
      </x:c>
      <x:c r="K1374" s="73" t="n">
        <x:f>IF(J1374=1,INDEX(TrackMap!$I$8:$I$141,H1374),INDEX(TrackMap!$L$8:$L$141,H1374))</x:f>
        <x:v>3117</x:v>
      </x:c>
      <x:c r="L1374" s="73" t="str">
        <x:f>INDEX(TrackMap!$F$8:$F$141,H1374)</x:f>
        <x:v>←</x:v>
      </x:c>
      <x:c r="M1374" s="87" t="n">
        <x:f>MAX(0,G1374/Control!$B$17)</x:f>
        <x:v>1</x:v>
      </x:c>
      <x:c r="N1374" s="73" t="n">
        <x:f>IF(N1368&gt;0,N1368,IF(G1374&gt;=Control!$B$17,A1374,0))</x:f>
        <x:v>195</x:v>
      </x:c>
      <x:c r="O1374" s="91" t="n">
        <x:f>IF(N1374&gt;0,Control!$B$17+Control!$B$8+1-N1374,G1374)-B1374/100000</x:f>
        <x:v>715.99995</x:v>
      </x:c>
      <x:c r="P1374" s="73" t="n">
        <x:f>COUNTIF($O$1370:$O$1375,"&gt;"&amp;O1374)+1</x:f>
        <x:v>3</x:v>
      </x:c>
      <x:c r="Q1374" s="83" t="n">
        <x:f>MAX($G$1370:$G$1375)-G1374</x:f>
        <x:v>0</x:v>
      </x:c>
      <x:c r="R1374" s="73" t="str">
        <x:f>INDEX(TrackMap!$B$8:$B$141,H1374)</x:f>
        <x:v>发车大直道</x:v>
      </x:c>
    </x:row>
    <x:row r="1375" ht="20" customHeight="1">
      <x:c r="A1375" s="73" t="n">
        <x:v>227</x:v>
      </x:c>
      <x:c r="B1375" s="73" t="n">
        <x:v>6</x:v>
      </x:c>
      <x:c r="C1375" s="73" t="str">
        <x:f>INDEX(Drivers!$B$8:$B$13,B1375)</x:f>
        <x:v>玫速</x:v>
      </x:c>
      <x:c r="D1375" s="83" t="n">
        <x:f>G1369</x:f>
        <x:v>670</x:v>
      </x:c>
      <x:c r="E1375" s="83" t="str">
        <x:f>IF(A1375=0,"GRID",IF(D1375&gt;=Control!$B$17,"FINISHED",IF(AND(A1375&gt;=INDEX(Drivers!$G$8:$G$13,B1375),A1375&lt;INDEX(Drivers!$G$8:$G$13,B1375)+INDEX(Drivers!$J$8:$J$13,B1375)),"PIT",IF(MOD(A1375+INDEX(Drivers!$F$8:$F$13,B1375),Control!$B$11)&lt;Control!$B$13,"BOOST","RACE"))))</x:f>
        <x:v>FINISHED</x:v>
      </x:c>
      <x:c r="F1375" s="83" t="n">
        <x:f>IF(OR(E1375="GRID",E1375="FINISHED",E1375="PIT"),0,MAX(Control!$B$15,(INDEX(Drivers!$D$8:$D$13,B1375)+INDEX(Drivers!$E$8:$E$13,B1375)*SIN((A1375+INDEX(Drivers!$F$8:$F$13,B1375)+Control!$B$16)*Control!$B$14))*INDEX(TrackMap!$M$8:$M$141,MOD(INT(D1375)-1,Control!$B$7)+1)*IF(E1375="BOOST",Control!$B$12,1)))</x:f>
        <x:v>0</x:v>
      </x:c>
      <x:c r="G1375" s="83" t="n">
        <x:f>IF(A1375=0,D1375,MIN(Control!$B$17,D1375+F1375))</x:f>
        <x:v>670</x:v>
      </x:c>
      <x:c r="H1375" s="73" t="n">
        <x:f>MOD(INT(G1375)-1,Control!$B$7)+1</x:f>
        <x:v>134</x:v>
      </x:c>
      <x:c r="I1375" s="73" t="n">
        <x:f>MIN(Control!$B$6,MAX(1,INT(MAX(0,G1375)/Control!$B$7)+1))</x:f>
        <x:v>5</x:v>
      </x:c>
      <x:c r="J1375" s="73" t="n">
        <x:f>INDEX(Drivers!$H$8:$H$13,B1375)</x:f>
        <x:v>2</x:v>
      </x:c>
      <x:c r="K1375" s="73" t="n">
        <x:f>IF(J1375=1,INDEX(TrackMap!$I$8:$I$141,H1375),INDEX(TrackMap!$L$8:$L$141,H1375))</x:f>
        <x:v>3017</x:v>
      </x:c>
      <x:c r="L1375" s="73" t="str">
        <x:f>INDEX(TrackMap!$F$8:$F$141,H1375)</x:f>
        <x:v>←</x:v>
      </x:c>
      <x:c r="M1375" s="87" t="n">
        <x:f>MAX(0,G1375/Control!$B$17)</x:f>
        <x:v>1</x:v>
      </x:c>
      <x:c r="N1375" s="73" t="n">
        <x:f>IF(N1369&gt;0,N1369,IF(G1375&gt;=Control!$B$17,A1375,0))</x:f>
        <x:v>196</x:v>
      </x:c>
      <x:c r="O1375" s="91" t="n">
        <x:f>IF(N1375&gt;0,Control!$B$17+Control!$B$8+1-N1375,G1375)-B1375/100000</x:f>
        <x:v>714.99994</x:v>
      </x:c>
      <x:c r="P1375" s="73" t="n">
        <x:f>COUNTIF($O$1370:$O$1375,"&gt;"&amp;O1375)+1</x:f>
        <x:v>4</x:v>
      </x:c>
      <x:c r="Q1375" s="83" t="n">
        <x:f>MAX($G$1370:$G$1375)-G1375</x:f>
        <x:v>0</x:v>
      </x:c>
      <x:c r="R1375" s="73" t="str">
        <x:f>INDEX(TrackMap!$B$8:$B$141,H1375)</x:f>
        <x:v>发车大直道</x:v>
      </x:c>
    </x:row>
    <x:row r="1376" ht="20" customHeight="1">
      <x:c r="A1376" s="73" t="n">
        <x:v>228</x:v>
      </x:c>
      <x:c r="B1376" s="73" t="n">
        <x:v>1</x:v>
      </x:c>
      <x:c r="C1376" s="73" t="str">
        <x:f>INDEX(Drivers!$B$8:$B$13,B1376)</x:f>
        <x:v>赤焰</x:v>
      </x:c>
      <x:c r="D1376" s="83" t="n">
        <x:f>G1370</x:f>
        <x:v>670</x:v>
      </x:c>
      <x:c r="E1376" s="83" t="str">
        <x:f>IF(A1376=0,"GRID",IF(D1376&gt;=Control!$B$17,"FINISHED",IF(AND(A1376&gt;=INDEX(Drivers!$G$8:$G$13,B1376),A1376&lt;INDEX(Drivers!$G$8:$G$13,B1376)+INDEX(Drivers!$J$8:$J$13,B1376)),"PIT",IF(MOD(A1376+INDEX(Drivers!$F$8:$F$13,B1376),Control!$B$11)&lt;Control!$B$13,"BOOST","RACE"))))</x:f>
        <x:v>FINISHED</x:v>
      </x:c>
      <x:c r="F1376" s="83" t="n">
        <x:f>IF(OR(E1376="GRID",E1376="FINISHED",E1376="PIT"),0,MAX(Control!$B$15,(INDEX(Drivers!$D$8:$D$13,B1376)+INDEX(Drivers!$E$8:$E$13,B1376)*SIN((A1376+INDEX(Drivers!$F$8:$F$13,B1376)+Control!$B$16)*Control!$B$14))*INDEX(TrackMap!$M$8:$M$141,MOD(INT(D1376)-1,Control!$B$7)+1)*IF(E1376="BOOST",Control!$B$12,1)))</x:f>
        <x:v>0</x:v>
      </x:c>
      <x:c r="G1376" s="83" t="n">
        <x:f>IF(A1376=0,D1376,MIN(Control!$B$17,D1376+F1376))</x:f>
        <x:v>670</x:v>
      </x:c>
      <x:c r="H1376" s="73" t="n">
        <x:f>MOD(INT(G1376)-1,Control!$B$7)+1</x:f>
        <x:v>134</x:v>
      </x:c>
      <x:c r="I1376" s="73" t="n">
        <x:f>MIN(Control!$B$6,MAX(1,INT(MAX(0,G1376)/Control!$B$7)+1))</x:f>
        <x:v>5</x:v>
      </x:c>
      <x:c r="J1376" s="73" t="n">
        <x:f>INDEX(Drivers!$H$8:$H$13,B1376)</x:f>
        <x:v>1</x:v>
      </x:c>
      <x:c r="K1376" s="73" t="n">
        <x:f>IF(J1376=1,INDEX(TrackMap!$I$8:$I$141,H1376),INDEX(TrackMap!$L$8:$L$141,H1376))</x:f>
        <x:v>3117</x:v>
      </x:c>
      <x:c r="L1376" s="73" t="str">
        <x:f>INDEX(TrackMap!$F$8:$F$141,H1376)</x:f>
        <x:v>←</x:v>
      </x:c>
      <x:c r="M1376" s="87" t="n">
        <x:f>MAX(0,G1376/Control!$B$17)</x:f>
        <x:v>1</x:v>
      </x:c>
      <x:c r="N1376" s="73" t="n">
        <x:f>IF(N1370&gt;0,N1370,IF(G1376&gt;=Control!$B$17,A1376,0))</x:f>
        <x:v>194</x:v>
      </x:c>
      <x:c r="O1376" s="91" t="n">
        <x:f>IF(N1376&gt;0,Control!$B$17+Control!$B$8+1-N1376,G1376)-B1376/100000</x:f>
        <x:v>716.99999</x:v>
      </x:c>
      <x:c r="P1376" s="73" t="n">
        <x:f>COUNTIF($O$1376:$O$1381,"&gt;"&amp;O1376)+1</x:f>
        <x:v>1</x:v>
      </x:c>
      <x:c r="Q1376" s="83" t="n">
        <x:f>MAX($G$1376:$G$1381)-G1376</x:f>
        <x:v>0</x:v>
      </x:c>
      <x:c r="R1376" s="73" t="str">
        <x:f>INDEX(TrackMap!$B$8:$B$141,H1376)</x:f>
        <x:v>发车大直道</x:v>
      </x:c>
    </x:row>
    <x:row r="1377" ht="20" customHeight="1">
      <x:c r="A1377" s="73" t="n">
        <x:v>228</x:v>
      </x:c>
      <x:c r="B1377" s="73" t="n">
        <x:v>2</x:v>
      </x:c>
      <x:c r="C1377" s="73" t="str">
        <x:f>INDEX(Drivers!$B$8:$B$13,B1377)</x:f>
        <x:v>蓝电</x:v>
      </x:c>
      <x:c r="D1377" s="83" t="n">
        <x:f>G1371</x:f>
        <x:v>670</x:v>
      </x:c>
      <x:c r="E1377" s="83" t="str">
        <x:f>IF(A1377=0,"GRID",IF(D1377&gt;=Control!$B$17,"FINISHED",IF(AND(A1377&gt;=INDEX(Drivers!$G$8:$G$13,B1377),A1377&lt;INDEX(Drivers!$G$8:$G$13,B1377)+INDEX(Drivers!$J$8:$J$13,B1377)),"PIT",IF(MOD(A1377+INDEX(Drivers!$F$8:$F$13,B1377),Control!$B$11)&lt;Control!$B$13,"BOOST","RACE"))))</x:f>
        <x:v>FINISHED</x:v>
      </x:c>
      <x:c r="F1377" s="83" t="n">
        <x:f>IF(OR(E1377="GRID",E1377="FINISHED",E1377="PIT"),0,MAX(Control!$B$15,(INDEX(Drivers!$D$8:$D$13,B1377)+INDEX(Drivers!$E$8:$E$13,B1377)*SIN((A1377+INDEX(Drivers!$F$8:$F$13,B1377)+Control!$B$16)*Control!$B$14))*INDEX(TrackMap!$M$8:$M$141,MOD(INT(D1377)-1,Control!$B$7)+1)*IF(E1377="BOOST",Control!$B$12,1)))</x:f>
        <x:v>0</x:v>
      </x:c>
      <x:c r="G1377" s="83" t="n">
        <x:f>IF(A1377=0,D1377,MIN(Control!$B$17,D1377+F1377))</x:f>
        <x:v>670</x:v>
      </x:c>
      <x:c r="H1377" s="73" t="n">
        <x:f>MOD(INT(G1377)-1,Control!$B$7)+1</x:f>
        <x:v>134</x:v>
      </x:c>
      <x:c r="I1377" s="73" t="n">
        <x:f>MIN(Control!$B$6,MAX(1,INT(MAX(0,G1377)/Control!$B$7)+1))</x:f>
        <x:v>5</x:v>
      </x:c>
      <x:c r="J1377" s="73" t="n">
        <x:f>INDEX(Drivers!$H$8:$H$13,B1377)</x:f>
        <x:v>2</x:v>
      </x:c>
      <x:c r="K1377" s="73" t="n">
        <x:f>IF(J1377=1,INDEX(TrackMap!$I$8:$I$141,H1377),INDEX(TrackMap!$L$8:$L$141,H1377))</x:f>
        <x:v>3017</x:v>
      </x:c>
      <x:c r="L1377" s="73" t="str">
        <x:f>INDEX(TrackMap!$F$8:$F$141,H1377)</x:f>
        <x:v>←</x:v>
      </x:c>
      <x:c r="M1377" s="87" t="n">
        <x:f>MAX(0,G1377/Control!$B$17)</x:f>
        <x:v>1</x:v>
      </x:c>
      <x:c r="N1377" s="73" t="n">
        <x:f>IF(N1371&gt;0,N1371,IF(G1377&gt;=Control!$B$17,A1377,0))</x:f>
        <x:v>201</x:v>
      </x:c>
      <x:c r="O1377" s="91" t="n">
        <x:f>IF(N1377&gt;0,Control!$B$17+Control!$B$8+1-N1377,G1377)-B1377/100000</x:f>
        <x:v>709.99998</x:v>
      </x:c>
      <x:c r="P1377" s="73" t="n">
        <x:f>COUNTIF($O$1376:$O$1381,"&gt;"&amp;O1377)+1</x:f>
        <x:v>6</x:v>
      </x:c>
      <x:c r="Q1377" s="83" t="n">
        <x:f>MAX($G$1376:$G$1381)-G1377</x:f>
        <x:v>0</x:v>
      </x:c>
      <x:c r="R1377" s="73" t="str">
        <x:f>INDEX(TrackMap!$B$8:$B$141,H1377)</x:f>
        <x:v>发车大直道</x:v>
      </x:c>
    </x:row>
    <x:row r="1378" ht="20" customHeight="1">
      <x:c r="A1378" s="73" t="n">
        <x:v>228</x:v>
      </x:c>
      <x:c r="B1378" s="73" t="n">
        <x:v>3</x:v>
      </x:c>
      <x:c r="C1378" s="73" t="str">
        <x:f>INDEX(Drivers!$B$8:$B$13,B1378)</x:f>
        <x:v>金翼</x:v>
      </x:c>
      <x:c r="D1378" s="83" t="n">
        <x:f>G1372</x:f>
        <x:v>670</x:v>
      </x:c>
      <x:c r="E1378" s="83" t="str">
        <x:f>IF(A1378=0,"GRID",IF(D1378&gt;=Control!$B$17,"FINISHED",IF(AND(A1378&gt;=INDEX(Drivers!$G$8:$G$13,B1378),A1378&lt;INDEX(Drivers!$G$8:$G$13,B1378)+INDEX(Drivers!$J$8:$J$13,B1378)),"PIT",IF(MOD(A1378+INDEX(Drivers!$F$8:$F$13,B1378),Control!$B$11)&lt;Control!$B$13,"BOOST","RACE"))))</x:f>
        <x:v>FINISHED</x:v>
      </x:c>
      <x:c r="F1378" s="83" t="n">
        <x:f>IF(OR(E1378="GRID",E1378="FINISHED",E1378="PIT"),0,MAX(Control!$B$15,(INDEX(Drivers!$D$8:$D$13,B1378)+INDEX(Drivers!$E$8:$E$13,B1378)*SIN((A1378+INDEX(Drivers!$F$8:$F$13,B1378)+Control!$B$16)*Control!$B$14))*INDEX(TrackMap!$M$8:$M$141,MOD(INT(D1378)-1,Control!$B$7)+1)*IF(E1378="BOOST",Control!$B$12,1)))</x:f>
        <x:v>0</x:v>
      </x:c>
      <x:c r="G1378" s="83" t="n">
        <x:f>IF(A1378=0,D1378,MIN(Control!$B$17,D1378+F1378))</x:f>
        <x:v>670</x:v>
      </x:c>
      <x:c r="H1378" s="73" t="n">
        <x:f>MOD(INT(G1378)-1,Control!$B$7)+1</x:f>
        <x:v>134</x:v>
      </x:c>
      <x:c r="I1378" s="73" t="n">
        <x:f>MIN(Control!$B$6,MAX(1,INT(MAX(0,G1378)/Control!$B$7)+1))</x:f>
        <x:v>5</x:v>
      </x:c>
      <x:c r="J1378" s="73" t="n">
        <x:f>INDEX(Drivers!$H$8:$H$13,B1378)</x:f>
        <x:v>1</x:v>
      </x:c>
      <x:c r="K1378" s="73" t="n">
        <x:f>IF(J1378=1,INDEX(TrackMap!$I$8:$I$141,H1378),INDEX(TrackMap!$L$8:$L$141,H1378))</x:f>
        <x:v>3117</x:v>
      </x:c>
      <x:c r="L1378" s="73" t="str">
        <x:f>INDEX(TrackMap!$F$8:$F$141,H1378)</x:f>
        <x:v>←</x:v>
      </x:c>
      <x:c r="M1378" s="87" t="n">
        <x:f>MAX(0,G1378/Control!$B$17)</x:f>
        <x:v>1</x:v>
      </x:c>
      <x:c r="N1378" s="73" t="n">
        <x:f>IF(N1372&gt;0,N1372,IF(G1378&gt;=Control!$B$17,A1378,0))</x:f>
        <x:v>195</x:v>
      </x:c>
      <x:c r="O1378" s="91" t="n">
        <x:f>IF(N1378&gt;0,Control!$B$17+Control!$B$8+1-N1378,G1378)-B1378/100000</x:f>
        <x:v>715.99997</x:v>
      </x:c>
      <x:c r="P1378" s="73" t="n">
        <x:f>COUNTIF($O$1376:$O$1381,"&gt;"&amp;O1378)+1</x:f>
        <x:v>2</x:v>
      </x:c>
      <x:c r="Q1378" s="83" t="n">
        <x:f>MAX($G$1376:$G$1381)-G1378</x:f>
        <x:v>0</x:v>
      </x:c>
      <x:c r="R1378" s="73" t="str">
        <x:f>INDEX(TrackMap!$B$8:$B$141,H1378)</x:f>
        <x:v>发车大直道</x:v>
      </x:c>
    </x:row>
    <x:row r="1379" ht="20" customHeight="1">
      <x:c r="A1379" s="73" t="n">
        <x:v>228</x:v>
      </x:c>
      <x:c r="B1379" s="73" t="n">
        <x:v>4</x:v>
      </x:c>
      <x:c r="C1379" s="73" t="str">
        <x:f>INDEX(Drivers!$B$8:$B$13,B1379)</x:f>
        <x:v>紫影</x:v>
      </x:c>
      <x:c r="D1379" s="83" t="n">
        <x:f>G1373</x:f>
        <x:v>670</x:v>
      </x:c>
      <x:c r="E1379" s="83" t="str">
        <x:f>IF(A1379=0,"GRID",IF(D1379&gt;=Control!$B$17,"FINISHED",IF(AND(A1379&gt;=INDEX(Drivers!$G$8:$G$13,B1379),A1379&lt;INDEX(Drivers!$G$8:$G$13,B1379)+INDEX(Drivers!$J$8:$J$13,B1379)),"PIT",IF(MOD(A1379+INDEX(Drivers!$F$8:$F$13,B1379),Control!$B$11)&lt;Control!$B$13,"BOOST","RACE"))))</x:f>
        <x:v>FINISHED</x:v>
      </x:c>
      <x:c r="F1379" s="83" t="n">
        <x:f>IF(OR(E1379="GRID",E1379="FINISHED",E1379="PIT"),0,MAX(Control!$B$15,(INDEX(Drivers!$D$8:$D$13,B1379)+INDEX(Drivers!$E$8:$E$13,B1379)*SIN((A1379+INDEX(Drivers!$F$8:$F$13,B1379)+Control!$B$16)*Control!$B$14))*INDEX(TrackMap!$M$8:$M$141,MOD(INT(D1379)-1,Control!$B$7)+1)*IF(E1379="BOOST",Control!$B$12,1)))</x:f>
        <x:v>0</x:v>
      </x:c>
      <x:c r="G1379" s="83" t="n">
        <x:f>IF(A1379=0,D1379,MIN(Control!$B$17,D1379+F1379))</x:f>
        <x:v>670</x:v>
      </x:c>
      <x:c r="H1379" s="73" t="n">
        <x:f>MOD(INT(G1379)-1,Control!$B$7)+1</x:f>
        <x:v>134</x:v>
      </x:c>
      <x:c r="I1379" s="73" t="n">
        <x:f>MIN(Control!$B$6,MAX(1,INT(MAX(0,G1379)/Control!$B$7)+1))</x:f>
        <x:v>5</x:v>
      </x:c>
      <x:c r="J1379" s="73" t="n">
        <x:f>INDEX(Drivers!$H$8:$H$13,B1379)</x:f>
        <x:v>2</x:v>
      </x:c>
      <x:c r="K1379" s="73" t="n">
        <x:f>IF(J1379=1,INDEX(TrackMap!$I$8:$I$141,H1379),INDEX(TrackMap!$L$8:$L$141,H1379))</x:f>
        <x:v>3017</x:v>
      </x:c>
      <x:c r="L1379" s="73" t="str">
        <x:f>INDEX(TrackMap!$F$8:$F$141,H1379)</x:f>
        <x:v>←</x:v>
      </x:c>
      <x:c r="M1379" s="87" t="n">
        <x:f>MAX(0,G1379/Control!$B$17)</x:f>
        <x:v>1</x:v>
      </x:c>
      <x:c r="N1379" s="73" t="n">
        <x:f>IF(N1373&gt;0,N1373,IF(G1379&gt;=Control!$B$17,A1379,0))</x:f>
        <x:v>198</x:v>
      </x:c>
      <x:c r="O1379" s="91" t="n">
        <x:f>IF(N1379&gt;0,Control!$B$17+Control!$B$8+1-N1379,G1379)-B1379/100000</x:f>
        <x:v>712.99996</x:v>
      </x:c>
      <x:c r="P1379" s="73" t="n">
        <x:f>COUNTIF($O$1376:$O$1381,"&gt;"&amp;O1379)+1</x:f>
        <x:v>5</x:v>
      </x:c>
      <x:c r="Q1379" s="83" t="n">
        <x:f>MAX($G$1376:$G$1381)-G1379</x:f>
        <x:v>0</x:v>
      </x:c>
      <x:c r="R1379" s="73" t="str">
        <x:f>INDEX(TrackMap!$B$8:$B$141,H1379)</x:f>
        <x:v>发车大直道</x:v>
      </x:c>
    </x:row>
    <x:row r="1380" ht="20" customHeight="1">
      <x:c r="A1380" s="73" t="n">
        <x:v>228</x:v>
      </x:c>
      <x:c r="B1380" s="73" t="n">
        <x:v>5</x:v>
      </x:c>
      <x:c r="C1380" s="73" t="str">
        <x:f>INDEX(Drivers!$B$8:$B$13,B1380)</x:f>
        <x:v>青锋</x:v>
      </x:c>
      <x:c r="D1380" s="83" t="n">
        <x:f>G1374</x:f>
        <x:v>670</x:v>
      </x:c>
      <x:c r="E1380" s="83" t="str">
        <x:f>IF(A1380=0,"GRID",IF(D1380&gt;=Control!$B$17,"FINISHED",IF(AND(A1380&gt;=INDEX(Drivers!$G$8:$G$13,B1380),A1380&lt;INDEX(Drivers!$G$8:$G$13,B1380)+INDEX(Drivers!$J$8:$J$13,B1380)),"PIT",IF(MOD(A1380+INDEX(Drivers!$F$8:$F$13,B1380),Control!$B$11)&lt;Control!$B$13,"BOOST","RACE"))))</x:f>
        <x:v>FINISHED</x:v>
      </x:c>
      <x:c r="F1380" s="83" t="n">
        <x:f>IF(OR(E1380="GRID",E1380="FINISHED",E1380="PIT"),0,MAX(Control!$B$15,(INDEX(Drivers!$D$8:$D$13,B1380)+INDEX(Drivers!$E$8:$E$13,B1380)*SIN((A1380+INDEX(Drivers!$F$8:$F$13,B1380)+Control!$B$16)*Control!$B$14))*INDEX(TrackMap!$M$8:$M$141,MOD(INT(D1380)-1,Control!$B$7)+1)*IF(E1380="BOOST",Control!$B$12,1)))</x:f>
        <x:v>0</x:v>
      </x:c>
      <x:c r="G1380" s="83" t="n">
        <x:f>IF(A1380=0,D1380,MIN(Control!$B$17,D1380+F1380))</x:f>
        <x:v>670</x:v>
      </x:c>
      <x:c r="H1380" s="73" t="n">
        <x:f>MOD(INT(G1380)-1,Control!$B$7)+1</x:f>
        <x:v>134</x:v>
      </x:c>
      <x:c r="I1380" s="73" t="n">
        <x:f>MIN(Control!$B$6,MAX(1,INT(MAX(0,G1380)/Control!$B$7)+1))</x:f>
        <x:v>5</x:v>
      </x:c>
      <x:c r="J1380" s="73" t="n">
        <x:f>INDEX(Drivers!$H$8:$H$13,B1380)</x:f>
        <x:v>1</x:v>
      </x:c>
      <x:c r="K1380" s="73" t="n">
        <x:f>IF(J1380=1,INDEX(TrackMap!$I$8:$I$141,H1380),INDEX(TrackMap!$L$8:$L$141,H1380))</x:f>
        <x:v>3117</x:v>
      </x:c>
      <x:c r="L1380" s="73" t="str">
        <x:f>INDEX(TrackMap!$F$8:$F$141,H1380)</x:f>
        <x:v>←</x:v>
      </x:c>
      <x:c r="M1380" s="87" t="n">
        <x:f>MAX(0,G1380/Control!$B$17)</x:f>
        <x:v>1</x:v>
      </x:c>
      <x:c r="N1380" s="73" t="n">
        <x:f>IF(N1374&gt;0,N1374,IF(G1380&gt;=Control!$B$17,A1380,0))</x:f>
        <x:v>195</x:v>
      </x:c>
      <x:c r="O1380" s="91" t="n">
        <x:f>IF(N1380&gt;0,Control!$B$17+Control!$B$8+1-N1380,G1380)-B1380/100000</x:f>
        <x:v>715.99995</x:v>
      </x:c>
      <x:c r="P1380" s="73" t="n">
        <x:f>COUNTIF($O$1376:$O$1381,"&gt;"&amp;O1380)+1</x:f>
        <x:v>3</x:v>
      </x:c>
      <x:c r="Q1380" s="83" t="n">
        <x:f>MAX($G$1376:$G$1381)-G1380</x:f>
        <x:v>0</x:v>
      </x:c>
      <x:c r="R1380" s="73" t="str">
        <x:f>INDEX(TrackMap!$B$8:$B$141,H1380)</x:f>
        <x:v>发车大直道</x:v>
      </x:c>
    </x:row>
    <x:row r="1381" ht="20" customHeight="1">
      <x:c r="A1381" s="73" t="n">
        <x:v>228</x:v>
      </x:c>
      <x:c r="B1381" s="73" t="n">
        <x:v>6</x:v>
      </x:c>
      <x:c r="C1381" s="73" t="str">
        <x:f>INDEX(Drivers!$B$8:$B$13,B1381)</x:f>
        <x:v>玫速</x:v>
      </x:c>
      <x:c r="D1381" s="83" t="n">
        <x:f>G1375</x:f>
        <x:v>670</x:v>
      </x:c>
      <x:c r="E1381" s="83" t="str">
        <x:f>IF(A1381=0,"GRID",IF(D1381&gt;=Control!$B$17,"FINISHED",IF(AND(A1381&gt;=INDEX(Drivers!$G$8:$G$13,B1381),A1381&lt;INDEX(Drivers!$G$8:$G$13,B1381)+INDEX(Drivers!$J$8:$J$13,B1381)),"PIT",IF(MOD(A1381+INDEX(Drivers!$F$8:$F$13,B1381),Control!$B$11)&lt;Control!$B$13,"BOOST","RACE"))))</x:f>
        <x:v>FINISHED</x:v>
      </x:c>
      <x:c r="F1381" s="83" t="n">
        <x:f>IF(OR(E1381="GRID",E1381="FINISHED",E1381="PIT"),0,MAX(Control!$B$15,(INDEX(Drivers!$D$8:$D$13,B1381)+INDEX(Drivers!$E$8:$E$13,B1381)*SIN((A1381+INDEX(Drivers!$F$8:$F$13,B1381)+Control!$B$16)*Control!$B$14))*INDEX(TrackMap!$M$8:$M$141,MOD(INT(D1381)-1,Control!$B$7)+1)*IF(E1381="BOOST",Control!$B$12,1)))</x:f>
        <x:v>0</x:v>
      </x:c>
      <x:c r="G1381" s="83" t="n">
        <x:f>IF(A1381=0,D1381,MIN(Control!$B$17,D1381+F1381))</x:f>
        <x:v>670</x:v>
      </x:c>
      <x:c r="H1381" s="73" t="n">
        <x:f>MOD(INT(G1381)-1,Control!$B$7)+1</x:f>
        <x:v>134</x:v>
      </x:c>
      <x:c r="I1381" s="73" t="n">
        <x:f>MIN(Control!$B$6,MAX(1,INT(MAX(0,G1381)/Control!$B$7)+1))</x:f>
        <x:v>5</x:v>
      </x:c>
      <x:c r="J1381" s="73" t="n">
        <x:f>INDEX(Drivers!$H$8:$H$13,B1381)</x:f>
        <x:v>2</x:v>
      </x:c>
      <x:c r="K1381" s="73" t="n">
        <x:f>IF(J1381=1,INDEX(TrackMap!$I$8:$I$141,H1381),INDEX(TrackMap!$L$8:$L$141,H1381))</x:f>
        <x:v>3017</x:v>
      </x:c>
      <x:c r="L1381" s="73" t="str">
        <x:f>INDEX(TrackMap!$F$8:$F$141,H1381)</x:f>
        <x:v>←</x:v>
      </x:c>
      <x:c r="M1381" s="87" t="n">
        <x:f>MAX(0,G1381/Control!$B$17)</x:f>
        <x:v>1</x:v>
      </x:c>
      <x:c r="N1381" s="73" t="n">
        <x:f>IF(N1375&gt;0,N1375,IF(G1381&gt;=Control!$B$17,A1381,0))</x:f>
        <x:v>196</x:v>
      </x:c>
      <x:c r="O1381" s="91" t="n">
        <x:f>IF(N1381&gt;0,Control!$B$17+Control!$B$8+1-N1381,G1381)-B1381/100000</x:f>
        <x:v>714.99994</x:v>
      </x:c>
      <x:c r="P1381" s="73" t="n">
        <x:f>COUNTIF($O$1376:$O$1381,"&gt;"&amp;O1381)+1</x:f>
        <x:v>4</x:v>
      </x:c>
      <x:c r="Q1381" s="83" t="n">
        <x:f>MAX($G$1376:$G$1381)-G1381</x:f>
        <x:v>0</x:v>
      </x:c>
      <x:c r="R1381" s="73" t="str">
        <x:f>INDEX(TrackMap!$B$8:$B$141,H1381)</x:f>
        <x:v>发车大直道</x:v>
      </x:c>
    </x:row>
    <x:row r="1382" ht="20" customHeight="1">
      <x:c r="A1382" s="73" t="n">
        <x:v>229</x:v>
      </x:c>
      <x:c r="B1382" s="73" t="n">
        <x:v>1</x:v>
      </x:c>
      <x:c r="C1382" s="73" t="str">
        <x:f>INDEX(Drivers!$B$8:$B$13,B1382)</x:f>
        <x:v>赤焰</x:v>
      </x:c>
      <x:c r="D1382" s="83" t="n">
        <x:f>G1376</x:f>
        <x:v>670</x:v>
      </x:c>
      <x:c r="E1382" s="83" t="str">
        <x:f>IF(A1382=0,"GRID",IF(D1382&gt;=Control!$B$17,"FINISHED",IF(AND(A1382&gt;=INDEX(Drivers!$G$8:$G$13,B1382),A1382&lt;INDEX(Drivers!$G$8:$G$13,B1382)+INDEX(Drivers!$J$8:$J$13,B1382)),"PIT",IF(MOD(A1382+INDEX(Drivers!$F$8:$F$13,B1382),Control!$B$11)&lt;Control!$B$13,"BOOST","RACE"))))</x:f>
        <x:v>FINISHED</x:v>
      </x:c>
      <x:c r="F1382" s="83" t="n">
        <x:f>IF(OR(E1382="GRID",E1382="FINISHED",E1382="PIT"),0,MAX(Control!$B$15,(INDEX(Drivers!$D$8:$D$13,B1382)+INDEX(Drivers!$E$8:$E$13,B1382)*SIN((A1382+INDEX(Drivers!$F$8:$F$13,B1382)+Control!$B$16)*Control!$B$14))*INDEX(TrackMap!$M$8:$M$141,MOD(INT(D1382)-1,Control!$B$7)+1)*IF(E1382="BOOST",Control!$B$12,1)))</x:f>
        <x:v>0</x:v>
      </x:c>
      <x:c r="G1382" s="83" t="n">
        <x:f>IF(A1382=0,D1382,MIN(Control!$B$17,D1382+F1382))</x:f>
        <x:v>670</x:v>
      </x:c>
      <x:c r="H1382" s="73" t="n">
        <x:f>MOD(INT(G1382)-1,Control!$B$7)+1</x:f>
        <x:v>134</x:v>
      </x:c>
      <x:c r="I1382" s="73" t="n">
        <x:f>MIN(Control!$B$6,MAX(1,INT(MAX(0,G1382)/Control!$B$7)+1))</x:f>
        <x:v>5</x:v>
      </x:c>
      <x:c r="J1382" s="73" t="n">
        <x:f>INDEX(Drivers!$H$8:$H$13,B1382)</x:f>
        <x:v>1</x:v>
      </x:c>
      <x:c r="K1382" s="73" t="n">
        <x:f>IF(J1382=1,INDEX(TrackMap!$I$8:$I$141,H1382),INDEX(TrackMap!$L$8:$L$141,H1382))</x:f>
        <x:v>3117</x:v>
      </x:c>
      <x:c r="L1382" s="73" t="str">
        <x:f>INDEX(TrackMap!$F$8:$F$141,H1382)</x:f>
        <x:v>←</x:v>
      </x:c>
      <x:c r="M1382" s="87" t="n">
        <x:f>MAX(0,G1382/Control!$B$17)</x:f>
        <x:v>1</x:v>
      </x:c>
      <x:c r="N1382" s="73" t="n">
        <x:f>IF(N1376&gt;0,N1376,IF(G1382&gt;=Control!$B$17,A1382,0))</x:f>
        <x:v>194</x:v>
      </x:c>
      <x:c r="O1382" s="91" t="n">
        <x:f>IF(N1382&gt;0,Control!$B$17+Control!$B$8+1-N1382,G1382)-B1382/100000</x:f>
        <x:v>716.99999</x:v>
      </x:c>
      <x:c r="P1382" s="73" t="n">
        <x:f>COUNTIF($O$1382:$O$1387,"&gt;"&amp;O1382)+1</x:f>
        <x:v>1</x:v>
      </x:c>
      <x:c r="Q1382" s="83" t="n">
        <x:f>MAX($G$1382:$G$1387)-G1382</x:f>
        <x:v>0</x:v>
      </x:c>
      <x:c r="R1382" s="73" t="str">
        <x:f>INDEX(TrackMap!$B$8:$B$141,H1382)</x:f>
        <x:v>发车大直道</x:v>
      </x:c>
    </x:row>
    <x:row r="1383" ht="20" customHeight="1">
      <x:c r="A1383" s="73" t="n">
        <x:v>229</x:v>
      </x:c>
      <x:c r="B1383" s="73" t="n">
        <x:v>2</x:v>
      </x:c>
      <x:c r="C1383" s="73" t="str">
        <x:f>INDEX(Drivers!$B$8:$B$13,B1383)</x:f>
        <x:v>蓝电</x:v>
      </x:c>
      <x:c r="D1383" s="83" t="n">
        <x:f>G1377</x:f>
        <x:v>670</x:v>
      </x:c>
      <x:c r="E1383" s="83" t="str">
        <x:f>IF(A1383=0,"GRID",IF(D1383&gt;=Control!$B$17,"FINISHED",IF(AND(A1383&gt;=INDEX(Drivers!$G$8:$G$13,B1383),A1383&lt;INDEX(Drivers!$G$8:$G$13,B1383)+INDEX(Drivers!$J$8:$J$13,B1383)),"PIT",IF(MOD(A1383+INDEX(Drivers!$F$8:$F$13,B1383),Control!$B$11)&lt;Control!$B$13,"BOOST","RACE"))))</x:f>
        <x:v>FINISHED</x:v>
      </x:c>
      <x:c r="F1383" s="83" t="n">
        <x:f>IF(OR(E1383="GRID",E1383="FINISHED",E1383="PIT"),0,MAX(Control!$B$15,(INDEX(Drivers!$D$8:$D$13,B1383)+INDEX(Drivers!$E$8:$E$13,B1383)*SIN((A1383+INDEX(Drivers!$F$8:$F$13,B1383)+Control!$B$16)*Control!$B$14))*INDEX(TrackMap!$M$8:$M$141,MOD(INT(D1383)-1,Control!$B$7)+1)*IF(E1383="BOOST",Control!$B$12,1)))</x:f>
        <x:v>0</x:v>
      </x:c>
      <x:c r="G1383" s="83" t="n">
        <x:f>IF(A1383=0,D1383,MIN(Control!$B$17,D1383+F1383))</x:f>
        <x:v>670</x:v>
      </x:c>
      <x:c r="H1383" s="73" t="n">
        <x:f>MOD(INT(G1383)-1,Control!$B$7)+1</x:f>
        <x:v>134</x:v>
      </x:c>
      <x:c r="I1383" s="73" t="n">
        <x:f>MIN(Control!$B$6,MAX(1,INT(MAX(0,G1383)/Control!$B$7)+1))</x:f>
        <x:v>5</x:v>
      </x:c>
      <x:c r="J1383" s="73" t="n">
        <x:f>INDEX(Drivers!$H$8:$H$13,B1383)</x:f>
        <x:v>2</x:v>
      </x:c>
      <x:c r="K1383" s="73" t="n">
        <x:f>IF(J1383=1,INDEX(TrackMap!$I$8:$I$141,H1383),INDEX(TrackMap!$L$8:$L$141,H1383))</x:f>
        <x:v>3017</x:v>
      </x:c>
      <x:c r="L1383" s="73" t="str">
        <x:f>INDEX(TrackMap!$F$8:$F$141,H1383)</x:f>
        <x:v>←</x:v>
      </x:c>
      <x:c r="M1383" s="87" t="n">
        <x:f>MAX(0,G1383/Control!$B$17)</x:f>
        <x:v>1</x:v>
      </x:c>
      <x:c r="N1383" s="73" t="n">
        <x:f>IF(N1377&gt;0,N1377,IF(G1383&gt;=Control!$B$17,A1383,0))</x:f>
        <x:v>201</x:v>
      </x:c>
      <x:c r="O1383" s="91" t="n">
        <x:f>IF(N1383&gt;0,Control!$B$17+Control!$B$8+1-N1383,G1383)-B1383/100000</x:f>
        <x:v>709.99998</x:v>
      </x:c>
      <x:c r="P1383" s="73" t="n">
        <x:f>COUNTIF($O$1382:$O$1387,"&gt;"&amp;O1383)+1</x:f>
        <x:v>6</x:v>
      </x:c>
      <x:c r="Q1383" s="83" t="n">
        <x:f>MAX($G$1382:$G$1387)-G1383</x:f>
        <x:v>0</x:v>
      </x:c>
      <x:c r="R1383" s="73" t="str">
        <x:f>INDEX(TrackMap!$B$8:$B$141,H1383)</x:f>
        <x:v>发车大直道</x:v>
      </x:c>
    </x:row>
    <x:row r="1384" ht="20" customHeight="1">
      <x:c r="A1384" s="73" t="n">
        <x:v>229</x:v>
      </x:c>
      <x:c r="B1384" s="73" t="n">
        <x:v>3</x:v>
      </x:c>
      <x:c r="C1384" s="73" t="str">
        <x:f>INDEX(Drivers!$B$8:$B$13,B1384)</x:f>
        <x:v>金翼</x:v>
      </x:c>
      <x:c r="D1384" s="83" t="n">
        <x:f>G1378</x:f>
        <x:v>670</x:v>
      </x:c>
      <x:c r="E1384" s="83" t="str">
        <x:f>IF(A1384=0,"GRID",IF(D1384&gt;=Control!$B$17,"FINISHED",IF(AND(A1384&gt;=INDEX(Drivers!$G$8:$G$13,B1384),A1384&lt;INDEX(Drivers!$G$8:$G$13,B1384)+INDEX(Drivers!$J$8:$J$13,B1384)),"PIT",IF(MOD(A1384+INDEX(Drivers!$F$8:$F$13,B1384),Control!$B$11)&lt;Control!$B$13,"BOOST","RACE"))))</x:f>
        <x:v>FINISHED</x:v>
      </x:c>
      <x:c r="F1384" s="83" t="n">
        <x:f>IF(OR(E1384="GRID",E1384="FINISHED",E1384="PIT"),0,MAX(Control!$B$15,(INDEX(Drivers!$D$8:$D$13,B1384)+INDEX(Drivers!$E$8:$E$13,B1384)*SIN((A1384+INDEX(Drivers!$F$8:$F$13,B1384)+Control!$B$16)*Control!$B$14))*INDEX(TrackMap!$M$8:$M$141,MOD(INT(D1384)-1,Control!$B$7)+1)*IF(E1384="BOOST",Control!$B$12,1)))</x:f>
        <x:v>0</x:v>
      </x:c>
      <x:c r="G1384" s="83" t="n">
        <x:f>IF(A1384=0,D1384,MIN(Control!$B$17,D1384+F1384))</x:f>
        <x:v>670</x:v>
      </x:c>
      <x:c r="H1384" s="73" t="n">
        <x:f>MOD(INT(G1384)-1,Control!$B$7)+1</x:f>
        <x:v>134</x:v>
      </x:c>
      <x:c r="I1384" s="73" t="n">
        <x:f>MIN(Control!$B$6,MAX(1,INT(MAX(0,G1384)/Control!$B$7)+1))</x:f>
        <x:v>5</x:v>
      </x:c>
      <x:c r="J1384" s="73" t="n">
        <x:f>INDEX(Drivers!$H$8:$H$13,B1384)</x:f>
        <x:v>1</x:v>
      </x:c>
      <x:c r="K1384" s="73" t="n">
        <x:f>IF(J1384=1,INDEX(TrackMap!$I$8:$I$141,H1384),INDEX(TrackMap!$L$8:$L$141,H1384))</x:f>
        <x:v>3117</x:v>
      </x:c>
      <x:c r="L1384" s="73" t="str">
        <x:f>INDEX(TrackMap!$F$8:$F$141,H1384)</x:f>
        <x:v>←</x:v>
      </x:c>
      <x:c r="M1384" s="87" t="n">
        <x:f>MAX(0,G1384/Control!$B$17)</x:f>
        <x:v>1</x:v>
      </x:c>
      <x:c r="N1384" s="73" t="n">
        <x:f>IF(N1378&gt;0,N1378,IF(G1384&gt;=Control!$B$17,A1384,0))</x:f>
        <x:v>195</x:v>
      </x:c>
      <x:c r="O1384" s="91" t="n">
        <x:f>IF(N1384&gt;0,Control!$B$17+Control!$B$8+1-N1384,G1384)-B1384/100000</x:f>
        <x:v>715.99997</x:v>
      </x:c>
      <x:c r="P1384" s="73" t="n">
        <x:f>COUNTIF($O$1382:$O$1387,"&gt;"&amp;O1384)+1</x:f>
        <x:v>2</x:v>
      </x:c>
      <x:c r="Q1384" s="83" t="n">
        <x:f>MAX($G$1382:$G$1387)-G1384</x:f>
        <x:v>0</x:v>
      </x:c>
      <x:c r="R1384" s="73" t="str">
        <x:f>INDEX(TrackMap!$B$8:$B$141,H1384)</x:f>
        <x:v>发车大直道</x:v>
      </x:c>
    </x:row>
    <x:row r="1385" ht="20" customHeight="1">
      <x:c r="A1385" s="73" t="n">
        <x:v>229</x:v>
      </x:c>
      <x:c r="B1385" s="73" t="n">
        <x:v>4</x:v>
      </x:c>
      <x:c r="C1385" s="73" t="str">
        <x:f>INDEX(Drivers!$B$8:$B$13,B1385)</x:f>
        <x:v>紫影</x:v>
      </x:c>
      <x:c r="D1385" s="83" t="n">
        <x:f>G1379</x:f>
        <x:v>670</x:v>
      </x:c>
      <x:c r="E1385" s="83" t="str">
        <x:f>IF(A1385=0,"GRID",IF(D1385&gt;=Control!$B$17,"FINISHED",IF(AND(A1385&gt;=INDEX(Drivers!$G$8:$G$13,B1385),A1385&lt;INDEX(Drivers!$G$8:$G$13,B1385)+INDEX(Drivers!$J$8:$J$13,B1385)),"PIT",IF(MOD(A1385+INDEX(Drivers!$F$8:$F$13,B1385),Control!$B$11)&lt;Control!$B$13,"BOOST","RACE"))))</x:f>
        <x:v>FINISHED</x:v>
      </x:c>
      <x:c r="F1385" s="83" t="n">
        <x:f>IF(OR(E1385="GRID",E1385="FINISHED",E1385="PIT"),0,MAX(Control!$B$15,(INDEX(Drivers!$D$8:$D$13,B1385)+INDEX(Drivers!$E$8:$E$13,B1385)*SIN((A1385+INDEX(Drivers!$F$8:$F$13,B1385)+Control!$B$16)*Control!$B$14))*INDEX(TrackMap!$M$8:$M$141,MOD(INT(D1385)-1,Control!$B$7)+1)*IF(E1385="BOOST",Control!$B$12,1)))</x:f>
        <x:v>0</x:v>
      </x:c>
      <x:c r="G1385" s="83" t="n">
        <x:f>IF(A1385=0,D1385,MIN(Control!$B$17,D1385+F1385))</x:f>
        <x:v>670</x:v>
      </x:c>
      <x:c r="H1385" s="73" t="n">
        <x:f>MOD(INT(G1385)-1,Control!$B$7)+1</x:f>
        <x:v>134</x:v>
      </x:c>
      <x:c r="I1385" s="73" t="n">
        <x:f>MIN(Control!$B$6,MAX(1,INT(MAX(0,G1385)/Control!$B$7)+1))</x:f>
        <x:v>5</x:v>
      </x:c>
      <x:c r="J1385" s="73" t="n">
        <x:f>INDEX(Drivers!$H$8:$H$13,B1385)</x:f>
        <x:v>2</x:v>
      </x:c>
      <x:c r="K1385" s="73" t="n">
        <x:f>IF(J1385=1,INDEX(TrackMap!$I$8:$I$141,H1385),INDEX(TrackMap!$L$8:$L$141,H1385))</x:f>
        <x:v>3017</x:v>
      </x:c>
      <x:c r="L1385" s="73" t="str">
        <x:f>INDEX(TrackMap!$F$8:$F$141,H1385)</x:f>
        <x:v>←</x:v>
      </x:c>
      <x:c r="M1385" s="87" t="n">
        <x:f>MAX(0,G1385/Control!$B$17)</x:f>
        <x:v>1</x:v>
      </x:c>
      <x:c r="N1385" s="73" t="n">
        <x:f>IF(N1379&gt;0,N1379,IF(G1385&gt;=Control!$B$17,A1385,0))</x:f>
        <x:v>198</x:v>
      </x:c>
      <x:c r="O1385" s="91" t="n">
        <x:f>IF(N1385&gt;0,Control!$B$17+Control!$B$8+1-N1385,G1385)-B1385/100000</x:f>
        <x:v>712.99996</x:v>
      </x:c>
      <x:c r="P1385" s="73" t="n">
        <x:f>COUNTIF($O$1382:$O$1387,"&gt;"&amp;O1385)+1</x:f>
        <x:v>5</x:v>
      </x:c>
      <x:c r="Q1385" s="83" t="n">
        <x:f>MAX($G$1382:$G$1387)-G1385</x:f>
        <x:v>0</x:v>
      </x:c>
      <x:c r="R1385" s="73" t="str">
        <x:f>INDEX(TrackMap!$B$8:$B$141,H1385)</x:f>
        <x:v>发车大直道</x:v>
      </x:c>
    </x:row>
    <x:row r="1386" ht="20" customHeight="1">
      <x:c r="A1386" s="73" t="n">
        <x:v>229</x:v>
      </x:c>
      <x:c r="B1386" s="73" t="n">
        <x:v>5</x:v>
      </x:c>
      <x:c r="C1386" s="73" t="str">
        <x:f>INDEX(Drivers!$B$8:$B$13,B1386)</x:f>
        <x:v>青锋</x:v>
      </x:c>
      <x:c r="D1386" s="83" t="n">
        <x:f>G1380</x:f>
        <x:v>670</x:v>
      </x:c>
      <x:c r="E1386" s="83" t="str">
        <x:f>IF(A1386=0,"GRID",IF(D1386&gt;=Control!$B$17,"FINISHED",IF(AND(A1386&gt;=INDEX(Drivers!$G$8:$G$13,B1386),A1386&lt;INDEX(Drivers!$G$8:$G$13,B1386)+INDEX(Drivers!$J$8:$J$13,B1386)),"PIT",IF(MOD(A1386+INDEX(Drivers!$F$8:$F$13,B1386),Control!$B$11)&lt;Control!$B$13,"BOOST","RACE"))))</x:f>
        <x:v>FINISHED</x:v>
      </x:c>
      <x:c r="F1386" s="83" t="n">
        <x:f>IF(OR(E1386="GRID",E1386="FINISHED",E1386="PIT"),0,MAX(Control!$B$15,(INDEX(Drivers!$D$8:$D$13,B1386)+INDEX(Drivers!$E$8:$E$13,B1386)*SIN((A1386+INDEX(Drivers!$F$8:$F$13,B1386)+Control!$B$16)*Control!$B$14))*INDEX(TrackMap!$M$8:$M$141,MOD(INT(D1386)-1,Control!$B$7)+1)*IF(E1386="BOOST",Control!$B$12,1)))</x:f>
        <x:v>0</x:v>
      </x:c>
      <x:c r="G1386" s="83" t="n">
        <x:f>IF(A1386=0,D1386,MIN(Control!$B$17,D1386+F1386))</x:f>
        <x:v>670</x:v>
      </x:c>
      <x:c r="H1386" s="73" t="n">
        <x:f>MOD(INT(G1386)-1,Control!$B$7)+1</x:f>
        <x:v>134</x:v>
      </x:c>
      <x:c r="I1386" s="73" t="n">
        <x:f>MIN(Control!$B$6,MAX(1,INT(MAX(0,G1386)/Control!$B$7)+1))</x:f>
        <x:v>5</x:v>
      </x:c>
      <x:c r="J1386" s="73" t="n">
        <x:f>INDEX(Drivers!$H$8:$H$13,B1386)</x:f>
        <x:v>1</x:v>
      </x:c>
      <x:c r="K1386" s="73" t="n">
        <x:f>IF(J1386=1,INDEX(TrackMap!$I$8:$I$141,H1386),INDEX(TrackMap!$L$8:$L$141,H1386))</x:f>
        <x:v>3117</x:v>
      </x:c>
      <x:c r="L1386" s="73" t="str">
        <x:f>INDEX(TrackMap!$F$8:$F$141,H1386)</x:f>
        <x:v>←</x:v>
      </x:c>
      <x:c r="M1386" s="87" t="n">
        <x:f>MAX(0,G1386/Control!$B$17)</x:f>
        <x:v>1</x:v>
      </x:c>
      <x:c r="N1386" s="73" t="n">
        <x:f>IF(N1380&gt;0,N1380,IF(G1386&gt;=Control!$B$17,A1386,0))</x:f>
        <x:v>195</x:v>
      </x:c>
      <x:c r="O1386" s="91" t="n">
        <x:f>IF(N1386&gt;0,Control!$B$17+Control!$B$8+1-N1386,G1386)-B1386/100000</x:f>
        <x:v>715.99995</x:v>
      </x:c>
      <x:c r="P1386" s="73" t="n">
        <x:f>COUNTIF($O$1382:$O$1387,"&gt;"&amp;O1386)+1</x:f>
        <x:v>3</x:v>
      </x:c>
      <x:c r="Q1386" s="83" t="n">
        <x:f>MAX($G$1382:$G$1387)-G1386</x:f>
        <x:v>0</x:v>
      </x:c>
      <x:c r="R1386" s="73" t="str">
        <x:f>INDEX(TrackMap!$B$8:$B$141,H1386)</x:f>
        <x:v>发车大直道</x:v>
      </x:c>
    </x:row>
    <x:row r="1387" ht="20" customHeight="1">
      <x:c r="A1387" s="73" t="n">
        <x:v>229</x:v>
      </x:c>
      <x:c r="B1387" s="73" t="n">
        <x:v>6</x:v>
      </x:c>
      <x:c r="C1387" s="73" t="str">
        <x:f>INDEX(Drivers!$B$8:$B$13,B1387)</x:f>
        <x:v>玫速</x:v>
      </x:c>
      <x:c r="D1387" s="83" t="n">
        <x:f>G1381</x:f>
        <x:v>670</x:v>
      </x:c>
      <x:c r="E1387" s="83" t="str">
        <x:f>IF(A1387=0,"GRID",IF(D1387&gt;=Control!$B$17,"FINISHED",IF(AND(A1387&gt;=INDEX(Drivers!$G$8:$G$13,B1387),A1387&lt;INDEX(Drivers!$G$8:$G$13,B1387)+INDEX(Drivers!$J$8:$J$13,B1387)),"PIT",IF(MOD(A1387+INDEX(Drivers!$F$8:$F$13,B1387),Control!$B$11)&lt;Control!$B$13,"BOOST","RACE"))))</x:f>
        <x:v>FINISHED</x:v>
      </x:c>
      <x:c r="F1387" s="83" t="n">
        <x:f>IF(OR(E1387="GRID",E1387="FINISHED",E1387="PIT"),0,MAX(Control!$B$15,(INDEX(Drivers!$D$8:$D$13,B1387)+INDEX(Drivers!$E$8:$E$13,B1387)*SIN((A1387+INDEX(Drivers!$F$8:$F$13,B1387)+Control!$B$16)*Control!$B$14))*INDEX(TrackMap!$M$8:$M$141,MOD(INT(D1387)-1,Control!$B$7)+1)*IF(E1387="BOOST",Control!$B$12,1)))</x:f>
        <x:v>0</x:v>
      </x:c>
      <x:c r="G1387" s="83" t="n">
        <x:f>IF(A1387=0,D1387,MIN(Control!$B$17,D1387+F1387))</x:f>
        <x:v>670</x:v>
      </x:c>
      <x:c r="H1387" s="73" t="n">
        <x:f>MOD(INT(G1387)-1,Control!$B$7)+1</x:f>
        <x:v>134</x:v>
      </x:c>
      <x:c r="I1387" s="73" t="n">
        <x:f>MIN(Control!$B$6,MAX(1,INT(MAX(0,G1387)/Control!$B$7)+1))</x:f>
        <x:v>5</x:v>
      </x:c>
      <x:c r="J1387" s="73" t="n">
        <x:f>INDEX(Drivers!$H$8:$H$13,B1387)</x:f>
        <x:v>2</x:v>
      </x:c>
      <x:c r="K1387" s="73" t="n">
        <x:f>IF(J1387=1,INDEX(TrackMap!$I$8:$I$141,H1387),INDEX(TrackMap!$L$8:$L$141,H1387))</x:f>
        <x:v>3017</x:v>
      </x:c>
      <x:c r="L1387" s="73" t="str">
        <x:f>INDEX(TrackMap!$F$8:$F$141,H1387)</x:f>
        <x:v>←</x:v>
      </x:c>
      <x:c r="M1387" s="87" t="n">
        <x:f>MAX(0,G1387/Control!$B$17)</x:f>
        <x:v>1</x:v>
      </x:c>
      <x:c r="N1387" s="73" t="n">
        <x:f>IF(N1381&gt;0,N1381,IF(G1387&gt;=Control!$B$17,A1387,0))</x:f>
        <x:v>196</x:v>
      </x:c>
      <x:c r="O1387" s="91" t="n">
        <x:f>IF(N1387&gt;0,Control!$B$17+Control!$B$8+1-N1387,G1387)-B1387/100000</x:f>
        <x:v>714.99994</x:v>
      </x:c>
      <x:c r="P1387" s="73" t="n">
        <x:f>COUNTIF($O$1382:$O$1387,"&gt;"&amp;O1387)+1</x:f>
        <x:v>4</x:v>
      </x:c>
      <x:c r="Q1387" s="83" t="n">
        <x:f>MAX($G$1382:$G$1387)-G1387</x:f>
        <x:v>0</x:v>
      </x:c>
      <x:c r="R1387" s="73" t="str">
        <x:f>INDEX(TrackMap!$B$8:$B$141,H1387)</x:f>
        <x:v>发车大直道</x:v>
      </x:c>
    </x:row>
    <x:row r="1388" ht="20" customHeight="1">
      <x:c r="A1388" s="73" t="n">
        <x:v>230</x:v>
      </x:c>
      <x:c r="B1388" s="73" t="n">
        <x:v>1</x:v>
      </x:c>
      <x:c r="C1388" s="73" t="str">
        <x:f>INDEX(Drivers!$B$8:$B$13,B1388)</x:f>
        <x:v>赤焰</x:v>
      </x:c>
      <x:c r="D1388" s="83" t="n">
        <x:f>G1382</x:f>
        <x:v>670</x:v>
      </x:c>
      <x:c r="E1388" s="83" t="str">
        <x:f>IF(A1388=0,"GRID",IF(D1388&gt;=Control!$B$17,"FINISHED",IF(AND(A1388&gt;=INDEX(Drivers!$G$8:$G$13,B1388),A1388&lt;INDEX(Drivers!$G$8:$G$13,B1388)+INDEX(Drivers!$J$8:$J$13,B1388)),"PIT",IF(MOD(A1388+INDEX(Drivers!$F$8:$F$13,B1388),Control!$B$11)&lt;Control!$B$13,"BOOST","RACE"))))</x:f>
        <x:v>FINISHED</x:v>
      </x:c>
      <x:c r="F1388" s="83" t="n">
        <x:f>IF(OR(E1388="GRID",E1388="FINISHED",E1388="PIT"),0,MAX(Control!$B$15,(INDEX(Drivers!$D$8:$D$13,B1388)+INDEX(Drivers!$E$8:$E$13,B1388)*SIN((A1388+INDEX(Drivers!$F$8:$F$13,B1388)+Control!$B$16)*Control!$B$14))*INDEX(TrackMap!$M$8:$M$141,MOD(INT(D1388)-1,Control!$B$7)+1)*IF(E1388="BOOST",Control!$B$12,1)))</x:f>
        <x:v>0</x:v>
      </x:c>
      <x:c r="G1388" s="83" t="n">
        <x:f>IF(A1388=0,D1388,MIN(Control!$B$17,D1388+F1388))</x:f>
        <x:v>670</x:v>
      </x:c>
      <x:c r="H1388" s="73" t="n">
        <x:f>MOD(INT(G1388)-1,Control!$B$7)+1</x:f>
        <x:v>134</x:v>
      </x:c>
      <x:c r="I1388" s="73" t="n">
        <x:f>MIN(Control!$B$6,MAX(1,INT(MAX(0,G1388)/Control!$B$7)+1))</x:f>
        <x:v>5</x:v>
      </x:c>
      <x:c r="J1388" s="73" t="n">
        <x:f>INDEX(Drivers!$H$8:$H$13,B1388)</x:f>
        <x:v>1</x:v>
      </x:c>
      <x:c r="K1388" s="73" t="n">
        <x:f>IF(J1388=1,INDEX(TrackMap!$I$8:$I$141,H1388),INDEX(TrackMap!$L$8:$L$141,H1388))</x:f>
        <x:v>3117</x:v>
      </x:c>
      <x:c r="L1388" s="73" t="str">
        <x:f>INDEX(TrackMap!$F$8:$F$141,H1388)</x:f>
        <x:v>←</x:v>
      </x:c>
      <x:c r="M1388" s="87" t="n">
        <x:f>MAX(0,G1388/Control!$B$17)</x:f>
        <x:v>1</x:v>
      </x:c>
      <x:c r="N1388" s="73" t="n">
        <x:f>IF(N1382&gt;0,N1382,IF(G1388&gt;=Control!$B$17,A1388,0))</x:f>
        <x:v>194</x:v>
      </x:c>
      <x:c r="O1388" s="91" t="n">
        <x:f>IF(N1388&gt;0,Control!$B$17+Control!$B$8+1-N1388,G1388)-B1388/100000</x:f>
        <x:v>716.99999</x:v>
      </x:c>
      <x:c r="P1388" s="73" t="n">
        <x:f>COUNTIF($O$1388:$O$1393,"&gt;"&amp;O1388)+1</x:f>
        <x:v>1</x:v>
      </x:c>
      <x:c r="Q1388" s="83" t="n">
        <x:f>MAX($G$1388:$G$1393)-G1388</x:f>
        <x:v>0</x:v>
      </x:c>
      <x:c r="R1388" s="73" t="str">
        <x:f>INDEX(TrackMap!$B$8:$B$141,H1388)</x:f>
        <x:v>发车大直道</x:v>
      </x:c>
    </x:row>
    <x:row r="1389" ht="20" customHeight="1">
      <x:c r="A1389" s="73" t="n">
        <x:v>230</x:v>
      </x:c>
      <x:c r="B1389" s="73" t="n">
        <x:v>2</x:v>
      </x:c>
      <x:c r="C1389" s="73" t="str">
        <x:f>INDEX(Drivers!$B$8:$B$13,B1389)</x:f>
        <x:v>蓝电</x:v>
      </x:c>
      <x:c r="D1389" s="83" t="n">
        <x:f>G1383</x:f>
        <x:v>670</x:v>
      </x:c>
      <x:c r="E1389" s="83" t="str">
        <x:f>IF(A1389=0,"GRID",IF(D1389&gt;=Control!$B$17,"FINISHED",IF(AND(A1389&gt;=INDEX(Drivers!$G$8:$G$13,B1389),A1389&lt;INDEX(Drivers!$G$8:$G$13,B1389)+INDEX(Drivers!$J$8:$J$13,B1389)),"PIT",IF(MOD(A1389+INDEX(Drivers!$F$8:$F$13,B1389),Control!$B$11)&lt;Control!$B$13,"BOOST","RACE"))))</x:f>
        <x:v>FINISHED</x:v>
      </x:c>
      <x:c r="F1389" s="83" t="n">
        <x:f>IF(OR(E1389="GRID",E1389="FINISHED",E1389="PIT"),0,MAX(Control!$B$15,(INDEX(Drivers!$D$8:$D$13,B1389)+INDEX(Drivers!$E$8:$E$13,B1389)*SIN((A1389+INDEX(Drivers!$F$8:$F$13,B1389)+Control!$B$16)*Control!$B$14))*INDEX(TrackMap!$M$8:$M$141,MOD(INT(D1389)-1,Control!$B$7)+1)*IF(E1389="BOOST",Control!$B$12,1)))</x:f>
        <x:v>0</x:v>
      </x:c>
      <x:c r="G1389" s="83" t="n">
        <x:f>IF(A1389=0,D1389,MIN(Control!$B$17,D1389+F1389))</x:f>
        <x:v>670</x:v>
      </x:c>
      <x:c r="H1389" s="73" t="n">
        <x:f>MOD(INT(G1389)-1,Control!$B$7)+1</x:f>
        <x:v>134</x:v>
      </x:c>
      <x:c r="I1389" s="73" t="n">
        <x:f>MIN(Control!$B$6,MAX(1,INT(MAX(0,G1389)/Control!$B$7)+1))</x:f>
        <x:v>5</x:v>
      </x:c>
      <x:c r="J1389" s="73" t="n">
        <x:f>INDEX(Drivers!$H$8:$H$13,B1389)</x:f>
        <x:v>2</x:v>
      </x:c>
      <x:c r="K1389" s="73" t="n">
        <x:f>IF(J1389=1,INDEX(TrackMap!$I$8:$I$141,H1389),INDEX(TrackMap!$L$8:$L$141,H1389))</x:f>
        <x:v>3017</x:v>
      </x:c>
      <x:c r="L1389" s="73" t="str">
        <x:f>INDEX(TrackMap!$F$8:$F$141,H1389)</x:f>
        <x:v>←</x:v>
      </x:c>
      <x:c r="M1389" s="87" t="n">
        <x:f>MAX(0,G1389/Control!$B$17)</x:f>
        <x:v>1</x:v>
      </x:c>
      <x:c r="N1389" s="73" t="n">
        <x:f>IF(N1383&gt;0,N1383,IF(G1389&gt;=Control!$B$17,A1389,0))</x:f>
        <x:v>201</x:v>
      </x:c>
      <x:c r="O1389" s="91" t="n">
        <x:f>IF(N1389&gt;0,Control!$B$17+Control!$B$8+1-N1389,G1389)-B1389/100000</x:f>
        <x:v>709.99998</x:v>
      </x:c>
      <x:c r="P1389" s="73" t="n">
        <x:f>COUNTIF($O$1388:$O$1393,"&gt;"&amp;O1389)+1</x:f>
        <x:v>6</x:v>
      </x:c>
      <x:c r="Q1389" s="83" t="n">
        <x:f>MAX($G$1388:$G$1393)-G1389</x:f>
        <x:v>0</x:v>
      </x:c>
      <x:c r="R1389" s="73" t="str">
        <x:f>INDEX(TrackMap!$B$8:$B$141,H1389)</x:f>
        <x:v>发车大直道</x:v>
      </x:c>
    </x:row>
    <x:row r="1390" ht="20" customHeight="1">
      <x:c r="A1390" s="73" t="n">
        <x:v>230</x:v>
      </x:c>
      <x:c r="B1390" s="73" t="n">
        <x:v>3</x:v>
      </x:c>
      <x:c r="C1390" s="73" t="str">
        <x:f>INDEX(Drivers!$B$8:$B$13,B1390)</x:f>
        <x:v>金翼</x:v>
      </x:c>
      <x:c r="D1390" s="83" t="n">
        <x:f>G1384</x:f>
        <x:v>670</x:v>
      </x:c>
      <x:c r="E1390" s="83" t="str">
        <x:f>IF(A1390=0,"GRID",IF(D1390&gt;=Control!$B$17,"FINISHED",IF(AND(A1390&gt;=INDEX(Drivers!$G$8:$G$13,B1390),A1390&lt;INDEX(Drivers!$G$8:$G$13,B1390)+INDEX(Drivers!$J$8:$J$13,B1390)),"PIT",IF(MOD(A1390+INDEX(Drivers!$F$8:$F$13,B1390),Control!$B$11)&lt;Control!$B$13,"BOOST","RACE"))))</x:f>
        <x:v>FINISHED</x:v>
      </x:c>
      <x:c r="F1390" s="83" t="n">
        <x:f>IF(OR(E1390="GRID",E1390="FINISHED",E1390="PIT"),0,MAX(Control!$B$15,(INDEX(Drivers!$D$8:$D$13,B1390)+INDEX(Drivers!$E$8:$E$13,B1390)*SIN((A1390+INDEX(Drivers!$F$8:$F$13,B1390)+Control!$B$16)*Control!$B$14))*INDEX(TrackMap!$M$8:$M$141,MOD(INT(D1390)-1,Control!$B$7)+1)*IF(E1390="BOOST",Control!$B$12,1)))</x:f>
        <x:v>0</x:v>
      </x:c>
      <x:c r="G1390" s="83" t="n">
        <x:f>IF(A1390=0,D1390,MIN(Control!$B$17,D1390+F1390))</x:f>
        <x:v>670</x:v>
      </x:c>
      <x:c r="H1390" s="73" t="n">
        <x:f>MOD(INT(G1390)-1,Control!$B$7)+1</x:f>
        <x:v>134</x:v>
      </x:c>
      <x:c r="I1390" s="73" t="n">
        <x:f>MIN(Control!$B$6,MAX(1,INT(MAX(0,G1390)/Control!$B$7)+1))</x:f>
        <x:v>5</x:v>
      </x:c>
      <x:c r="J1390" s="73" t="n">
        <x:f>INDEX(Drivers!$H$8:$H$13,B1390)</x:f>
        <x:v>1</x:v>
      </x:c>
      <x:c r="K1390" s="73" t="n">
        <x:f>IF(J1390=1,INDEX(TrackMap!$I$8:$I$141,H1390),INDEX(TrackMap!$L$8:$L$141,H1390))</x:f>
        <x:v>3117</x:v>
      </x:c>
      <x:c r="L1390" s="73" t="str">
        <x:f>INDEX(TrackMap!$F$8:$F$141,H1390)</x:f>
        <x:v>←</x:v>
      </x:c>
      <x:c r="M1390" s="87" t="n">
        <x:f>MAX(0,G1390/Control!$B$17)</x:f>
        <x:v>1</x:v>
      </x:c>
      <x:c r="N1390" s="73" t="n">
        <x:f>IF(N1384&gt;0,N1384,IF(G1390&gt;=Control!$B$17,A1390,0))</x:f>
        <x:v>195</x:v>
      </x:c>
      <x:c r="O1390" s="91" t="n">
        <x:f>IF(N1390&gt;0,Control!$B$17+Control!$B$8+1-N1390,G1390)-B1390/100000</x:f>
        <x:v>715.99997</x:v>
      </x:c>
      <x:c r="P1390" s="73" t="n">
        <x:f>COUNTIF($O$1388:$O$1393,"&gt;"&amp;O1390)+1</x:f>
        <x:v>2</x:v>
      </x:c>
      <x:c r="Q1390" s="83" t="n">
        <x:f>MAX($G$1388:$G$1393)-G1390</x:f>
        <x:v>0</x:v>
      </x:c>
      <x:c r="R1390" s="73" t="str">
        <x:f>INDEX(TrackMap!$B$8:$B$141,H1390)</x:f>
        <x:v>发车大直道</x:v>
      </x:c>
    </x:row>
    <x:row r="1391" ht="20" customHeight="1">
      <x:c r="A1391" s="73" t="n">
        <x:v>230</x:v>
      </x:c>
      <x:c r="B1391" s="73" t="n">
        <x:v>4</x:v>
      </x:c>
      <x:c r="C1391" s="73" t="str">
        <x:f>INDEX(Drivers!$B$8:$B$13,B1391)</x:f>
        <x:v>紫影</x:v>
      </x:c>
      <x:c r="D1391" s="83" t="n">
        <x:f>G1385</x:f>
        <x:v>670</x:v>
      </x:c>
      <x:c r="E1391" s="83" t="str">
        <x:f>IF(A1391=0,"GRID",IF(D1391&gt;=Control!$B$17,"FINISHED",IF(AND(A1391&gt;=INDEX(Drivers!$G$8:$G$13,B1391),A1391&lt;INDEX(Drivers!$G$8:$G$13,B1391)+INDEX(Drivers!$J$8:$J$13,B1391)),"PIT",IF(MOD(A1391+INDEX(Drivers!$F$8:$F$13,B1391),Control!$B$11)&lt;Control!$B$13,"BOOST","RACE"))))</x:f>
        <x:v>FINISHED</x:v>
      </x:c>
      <x:c r="F1391" s="83" t="n">
        <x:f>IF(OR(E1391="GRID",E1391="FINISHED",E1391="PIT"),0,MAX(Control!$B$15,(INDEX(Drivers!$D$8:$D$13,B1391)+INDEX(Drivers!$E$8:$E$13,B1391)*SIN((A1391+INDEX(Drivers!$F$8:$F$13,B1391)+Control!$B$16)*Control!$B$14))*INDEX(TrackMap!$M$8:$M$141,MOD(INT(D1391)-1,Control!$B$7)+1)*IF(E1391="BOOST",Control!$B$12,1)))</x:f>
        <x:v>0</x:v>
      </x:c>
      <x:c r="G1391" s="83" t="n">
        <x:f>IF(A1391=0,D1391,MIN(Control!$B$17,D1391+F1391))</x:f>
        <x:v>670</x:v>
      </x:c>
      <x:c r="H1391" s="73" t="n">
        <x:f>MOD(INT(G1391)-1,Control!$B$7)+1</x:f>
        <x:v>134</x:v>
      </x:c>
      <x:c r="I1391" s="73" t="n">
        <x:f>MIN(Control!$B$6,MAX(1,INT(MAX(0,G1391)/Control!$B$7)+1))</x:f>
        <x:v>5</x:v>
      </x:c>
      <x:c r="J1391" s="73" t="n">
        <x:f>INDEX(Drivers!$H$8:$H$13,B1391)</x:f>
        <x:v>2</x:v>
      </x:c>
      <x:c r="K1391" s="73" t="n">
        <x:f>IF(J1391=1,INDEX(TrackMap!$I$8:$I$141,H1391),INDEX(TrackMap!$L$8:$L$141,H1391))</x:f>
        <x:v>3017</x:v>
      </x:c>
      <x:c r="L1391" s="73" t="str">
        <x:f>INDEX(TrackMap!$F$8:$F$141,H1391)</x:f>
        <x:v>←</x:v>
      </x:c>
      <x:c r="M1391" s="87" t="n">
        <x:f>MAX(0,G1391/Control!$B$17)</x:f>
        <x:v>1</x:v>
      </x:c>
      <x:c r="N1391" s="73" t="n">
        <x:f>IF(N1385&gt;0,N1385,IF(G1391&gt;=Control!$B$17,A1391,0))</x:f>
        <x:v>198</x:v>
      </x:c>
      <x:c r="O1391" s="91" t="n">
        <x:f>IF(N1391&gt;0,Control!$B$17+Control!$B$8+1-N1391,G1391)-B1391/100000</x:f>
        <x:v>712.99996</x:v>
      </x:c>
      <x:c r="P1391" s="73" t="n">
        <x:f>COUNTIF($O$1388:$O$1393,"&gt;"&amp;O1391)+1</x:f>
        <x:v>5</x:v>
      </x:c>
      <x:c r="Q1391" s="83" t="n">
        <x:f>MAX($G$1388:$G$1393)-G1391</x:f>
        <x:v>0</x:v>
      </x:c>
      <x:c r="R1391" s="73" t="str">
        <x:f>INDEX(TrackMap!$B$8:$B$141,H1391)</x:f>
        <x:v>发车大直道</x:v>
      </x:c>
    </x:row>
    <x:row r="1392" ht="20" customHeight="1">
      <x:c r="A1392" s="73" t="n">
        <x:v>230</x:v>
      </x:c>
      <x:c r="B1392" s="73" t="n">
        <x:v>5</x:v>
      </x:c>
      <x:c r="C1392" s="73" t="str">
        <x:f>INDEX(Drivers!$B$8:$B$13,B1392)</x:f>
        <x:v>青锋</x:v>
      </x:c>
      <x:c r="D1392" s="83" t="n">
        <x:f>G1386</x:f>
        <x:v>670</x:v>
      </x:c>
      <x:c r="E1392" s="83" t="str">
        <x:f>IF(A1392=0,"GRID",IF(D1392&gt;=Control!$B$17,"FINISHED",IF(AND(A1392&gt;=INDEX(Drivers!$G$8:$G$13,B1392),A1392&lt;INDEX(Drivers!$G$8:$G$13,B1392)+INDEX(Drivers!$J$8:$J$13,B1392)),"PIT",IF(MOD(A1392+INDEX(Drivers!$F$8:$F$13,B1392),Control!$B$11)&lt;Control!$B$13,"BOOST","RACE"))))</x:f>
        <x:v>FINISHED</x:v>
      </x:c>
      <x:c r="F1392" s="83" t="n">
        <x:f>IF(OR(E1392="GRID",E1392="FINISHED",E1392="PIT"),0,MAX(Control!$B$15,(INDEX(Drivers!$D$8:$D$13,B1392)+INDEX(Drivers!$E$8:$E$13,B1392)*SIN((A1392+INDEX(Drivers!$F$8:$F$13,B1392)+Control!$B$16)*Control!$B$14))*INDEX(TrackMap!$M$8:$M$141,MOD(INT(D1392)-1,Control!$B$7)+1)*IF(E1392="BOOST",Control!$B$12,1)))</x:f>
        <x:v>0</x:v>
      </x:c>
      <x:c r="G1392" s="83" t="n">
        <x:f>IF(A1392=0,D1392,MIN(Control!$B$17,D1392+F1392))</x:f>
        <x:v>670</x:v>
      </x:c>
      <x:c r="H1392" s="73" t="n">
        <x:f>MOD(INT(G1392)-1,Control!$B$7)+1</x:f>
        <x:v>134</x:v>
      </x:c>
      <x:c r="I1392" s="73" t="n">
        <x:f>MIN(Control!$B$6,MAX(1,INT(MAX(0,G1392)/Control!$B$7)+1))</x:f>
        <x:v>5</x:v>
      </x:c>
      <x:c r="J1392" s="73" t="n">
        <x:f>INDEX(Drivers!$H$8:$H$13,B1392)</x:f>
        <x:v>1</x:v>
      </x:c>
      <x:c r="K1392" s="73" t="n">
        <x:f>IF(J1392=1,INDEX(TrackMap!$I$8:$I$141,H1392),INDEX(TrackMap!$L$8:$L$141,H1392))</x:f>
        <x:v>3117</x:v>
      </x:c>
      <x:c r="L1392" s="73" t="str">
        <x:f>INDEX(TrackMap!$F$8:$F$141,H1392)</x:f>
        <x:v>←</x:v>
      </x:c>
      <x:c r="M1392" s="87" t="n">
        <x:f>MAX(0,G1392/Control!$B$17)</x:f>
        <x:v>1</x:v>
      </x:c>
      <x:c r="N1392" s="73" t="n">
        <x:f>IF(N1386&gt;0,N1386,IF(G1392&gt;=Control!$B$17,A1392,0))</x:f>
        <x:v>195</x:v>
      </x:c>
      <x:c r="O1392" s="91" t="n">
        <x:f>IF(N1392&gt;0,Control!$B$17+Control!$B$8+1-N1392,G1392)-B1392/100000</x:f>
        <x:v>715.99995</x:v>
      </x:c>
      <x:c r="P1392" s="73" t="n">
        <x:f>COUNTIF($O$1388:$O$1393,"&gt;"&amp;O1392)+1</x:f>
        <x:v>3</x:v>
      </x:c>
      <x:c r="Q1392" s="83" t="n">
        <x:f>MAX($G$1388:$G$1393)-G1392</x:f>
        <x:v>0</x:v>
      </x:c>
      <x:c r="R1392" s="73" t="str">
        <x:f>INDEX(TrackMap!$B$8:$B$141,H1392)</x:f>
        <x:v>发车大直道</x:v>
      </x:c>
    </x:row>
    <x:row r="1393" ht="20" customHeight="1">
      <x:c r="A1393" s="73" t="n">
        <x:v>230</x:v>
      </x:c>
      <x:c r="B1393" s="73" t="n">
        <x:v>6</x:v>
      </x:c>
      <x:c r="C1393" s="73" t="str">
        <x:f>INDEX(Drivers!$B$8:$B$13,B1393)</x:f>
        <x:v>玫速</x:v>
      </x:c>
      <x:c r="D1393" s="83" t="n">
        <x:f>G1387</x:f>
        <x:v>670</x:v>
      </x:c>
      <x:c r="E1393" s="83" t="str">
        <x:f>IF(A1393=0,"GRID",IF(D1393&gt;=Control!$B$17,"FINISHED",IF(AND(A1393&gt;=INDEX(Drivers!$G$8:$G$13,B1393),A1393&lt;INDEX(Drivers!$G$8:$G$13,B1393)+INDEX(Drivers!$J$8:$J$13,B1393)),"PIT",IF(MOD(A1393+INDEX(Drivers!$F$8:$F$13,B1393),Control!$B$11)&lt;Control!$B$13,"BOOST","RACE"))))</x:f>
        <x:v>FINISHED</x:v>
      </x:c>
      <x:c r="F1393" s="83" t="n">
        <x:f>IF(OR(E1393="GRID",E1393="FINISHED",E1393="PIT"),0,MAX(Control!$B$15,(INDEX(Drivers!$D$8:$D$13,B1393)+INDEX(Drivers!$E$8:$E$13,B1393)*SIN((A1393+INDEX(Drivers!$F$8:$F$13,B1393)+Control!$B$16)*Control!$B$14))*INDEX(TrackMap!$M$8:$M$141,MOD(INT(D1393)-1,Control!$B$7)+1)*IF(E1393="BOOST",Control!$B$12,1)))</x:f>
        <x:v>0</x:v>
      </x:c>
      <x:c r="G1393" s="83" t="n">
        <x:f>IF(A1393=0,D1393,MIN(Control!$B$17,D1393+F1393))</x:f>
        <x:v>670</x:v>
      </x:c>
      <x:c r="H1393" s="73" t="n">
        <x:f>MOD(INT(G1393)-1,Control!$B$7)+1</x:f>
        <x:v>134</x:v>
      </x:c>
      <x:c r="I1393" s="73" t="n">
        <x:f>MIN(Control!$B$6,MAX(1,INT(MAX(0,G1393)/Control!$B$7)+1))</x:f>
        <x:v>5</x:v>
      </x:c>
      <x:c r="J1393" s="73" t="n">
        <x:f>INDEX(Drivers!$H$8:$H$13,B1393)</x:f>
        <x:v>2</x:v>
      </x:c>
      <x:c r="K1393" s="73" t="n">
        <x:f>IF(J1393=1,INDEX(TrackMap!$I$8:$I$141,H1393),INDEX(TrackMap!$L$8:$L$141,H1393))</x:f>
        <x:v>3017</x:v>
      </x:c>
      <x:c r="L1393" s="73" t="str">
        <x:f>INDEX(TrackMap!$F$8:$F$141,H1393)</x:f>
        <x:v>←</x:v>
      </x:c>
      <x:c r="M1393" s="87" t="n">
        <x:f>MAX(0,G1393/Control!$B$17)</x:f>
        <x:v>1</x:v>
      </x:c>
      <x:c r="N1393" s="73" t="n">
        <x:f>IF(N1387&gt;0,N1387,IF(G1393&gt;=Control!$B$17,A1393,0))</x:f>
        <x:v>196</x:v>
      </x:c>
      <x:c r="O1393" s="91" t="n">
        <x:f>IF(N1393&gt;0,Control!$B$17+Control!$B$8+1-N1393,G1393)-B1393/100000</x:f>
        <x:v>714.99994</x:v>
      </x:c>
      <x:c r="P1393" s="73" t="n">
        <x:f>COUNTIF($O$1388:$O$1393,"&gt;"&amp;O1393)+1</x:f>
        <x:v>4</x:v>
      </x:c>
      <x:c r="Q1393" s="83" t="n">
        <x:f>MAX($G$1388:$G$1393)-G1393</x:f>
        <x:v>0</x:v>
      </x:c>
      <x:c r="R1393" s="73" t="str">
        <x:f>INDEX(TrackMap!$B$8:$B$141,H1393)</x:f>
        <x:v>发车大直道</x:v>
      </x:c>
    </x:row>
    <x:row r="1394" ht="20" customHeight="1">
      <x:c r="A1394" s="73" t="n">
        <x:v>231</x:v>
      </x:c>
      <x:c r="B1394" s="73" t="n">
        <x:v>1</x:v>
      </x:c>
      <x:c r="C1394" s="73" t="str">
        <x:f>INDEX(Drivers!$B$8:$B$13,B1394)</x:f>
        <x:v>赤焰</x:v>
      </x:c>
      <x:c r="D1394" s="83" t="n">
        <x:f>G1388</x:f>
        <x:v>670</x:v>
      </x:c>
      <x:c r="E1394" s="83" t="str">
        <x:f>IF(A1394=0,"GRID",IF(D1394&gt;=Control!$B$17,"FINISHED",IF(AND(A1394&gt;=INDEX(Drivers!$G$8:$G$13,B1394),A1394&lt;INDEX(Drivers!$G$8:$G$13,B1394)+INDEX(Drivers!$J$8:$J$13,B1394)),"PIT",IF(MOD(A1394+INDEX(Drivers!$F$8:$F$13,B1394),Control!$B$11)&lt;Control!$B$13,"BOOST","RACE"))))</x:f>
        <x:v>FINISHED</x:v>
      </x:c>
      <x:c r="F1394" s="83" t="n">
        <x:f>IF(OR(E1394="GRID",E1394="FINISHED",E1394="PIT"),0,MAX(Control!$B$15,(INDEX(Drivers!$D$8:$D$13,B1394)+INDEX(Drivers!$E$8:$E$13,B1394)*SIN((A1394+INDEX(Drivers!$F$8:$F$13,B1394)+Control!$B$16)*Control!$B$14))*INDEX(TrackMap!$M$8:$M$141,MOD(INT(D1394)-1,Control!$B$7)+1)*IF(E1394="BOOST",Control!$B$12,1)))</x:f>
        <x:v>0</x:v>
      </x:c>
      <x:c r="G1394" s="83" t="n">
        <x:f>IF(A1394=0,D1394,MIN(Control!$B$17,D1394+F1394))</x:f>
        <x:v>670</x:v>
      </x:c>
      <x:c r="H1394" s="73" t="n">
        <x:f>MOD(INT(G1394)-1,Control!$B$7)+1</x:f>
        <x:v>134</x:v>
      </x:c>
      <x:c r="I1394" s="73" t="n">
        <x:f>MIN(Control!$B$6,MAX(1,INT(MAX(0,G1394)/Control!$B$7)+1))</x:f>
        <x:v>5</x:v>
      </x:c>
      <x:c r="J1394" s="73" t="n">
        <x:f>INDEX(Drivers!$H$8:$H$13,B1394)</x:f>
        <x:v>1</x:v>
      </x:c>
      <x:c r="K1394" s="73" t="n">
        <x:f>IF(J1394=1,INDEX(TrackMap!$I$8:$I$141,H1394),INDEX(TrackMap!$L$8:$L$141,H1394))</x:f>
        <x:v>3117</x:v>
      </x:c>
      <x:c r="L1394" s="73" t="str">
        <x:f>INDEX(TrackMap!$F$8:$F$141,H1394)</x:f>
        <x:v>←</x:v>
      </x:c>
      <x:c r="M1394" s="87" t="n">
        <x:f>MAX(0,G1394/Control!$B$17)</x:f>
        <x:v>1</x:v>
      </x:c>
      <x:c r="N1394" s="73" t="n">
        <x:f>IF(N1388&gt;0,N1388,IF(G1394&gt;=Control!$B$17,A1394,0))</x:f>
        <x:v>194</x:v>
      </x:c>
      <x:c r="O1394" s="91" t="n">
        <x:f>IF(N1394&gt;0,Control!$B$17+Control!$B$8+1-N1394,G1394)-B1394/100000</x:f>
        <x:v>716.99999</x:v>
      </x:c>
      <x:c r="P1394" s="73" t="n">
        <x:f>COUNTIF($O$1394:$O$1399,"&gt;"&amp;O1394)+1</x:f>
        <x:v>1</x:v>
      </x:c>
      <x:c r="Q1394" s="83" t="n">
        <x:f>MAX($G$1394:$G$1399)-G1394</x:f>
        <x:v>0</x:v>
      </x:c>
      <x:c r="R1394" s="73" t="str">
        <x:f>INDEX(TrackMap!$B$8:$B$141,H1394)</x:f>
        <x:v>发车大直道</x:v>
      </x:c>
    </x:row>
    <x:row r="1395" ht="20" customHeight="1">
      <x:c r="A1395" s="73" t="n">
        <x:v>231</x:v>
      </x:c>
      <x:c r="B1395" s="73" t="n">
        <x:v>2</x:v>
      </x:c>
      <x:c r="C1395" s="73" t="str">
        <x:f>INDEX(Drivers!$B$8:$B$13,B1395)</x:f>
        <x:v>蓝电</x:v>
      </x:c>
      <x:c r="D1395" s="83" t="n">
        <x:f>G1389</x:f>
        <x:v>670</x:v>
      </x:c>
      <x:c r="E1395" s="83" t="str">
        <x:f>IF(A1395=0,"GRID",IF(D1395&gt;=Control!$B$17,"FINISHED",IF(AND(A1395&gt;=INDEX(Drivers!$G$8:$G$13,B1395),A1395&lt;INDEX(Drivers!$G$8:$G$13,B1395)+INDEX(Drivers!$J$8:$J$13,B1395)),"PIT",IF(MOD(A1395+INDEX(Drivers!$F$8:$F$13,B1395),Control!$B$11)&lt;Control!$B$13,"BOOST","RACE"))))</x:f>
        <x:v>FINISHED</x:v>
      </x:c>
      <x:c r="F1395" s="83" t="n">
        <x:f>IF(OR(E1395="GRID",E1395="FINISHED",E1395="PIT"),0,MAX(Control!$B$15,(INDEX(Drivers!$D$8:$D$13,B1395)+INDEX(Drivers!$E$8:$E$13,B1395)*SIN((A1395+INDEX(Drivers!$F$8:$F$13,B1395)+Control!$B$16)*Control!$B$14))*INDEX(TrackMap!$M$8:$M$141,MOD(INT(D1395)-1,Control!$B$7)+1)*IF(E1395="BOOST",Control!$B$12,1)))</x:f>
        <x:v>0</x:v>
      </x:c>
      <x:c r="G1395" s="83" t="n">
        <x:f>IF(A1395=0,D1395,MIN(Control!$B$17,D1395+F1395))</x:f>
        <x:v>670</x:v>
      </x:c>
      <x:c r="H1395" s="73" t="n">
        <x:f>MOD(INT(G1395)-1,Control!$B$7)+1</x:f>
        <x:v>134</x:v>
      </x:c>
      <x:c r="I1395" s="73" t="n">
        <x:f>MIN(Control!$B$6,MAX(1,INT(MAX(0,G1395)/Control!$B$7)+1))</x:f>
        <x:v>5</x:v>
      </x:c>
      <x:c r="J1395" s="73" t="n">
        <x:f>INDEX(Drivers!$H$8:$H$13,B1395)</x:f>
        <x:v>2</x:v>
      </x:c>
      <x:c r="K1395" s="73" t="n">
        <x:f>IF(J1395=1,INDEX(TrackMap!$I$8:$I$141,H1395),INDEX(TrackMap!$L$8:$L$141,H1395))</x:f>
        <x:v>3017</x:v>
      </x:c>
      <x:c r="L1395" s="73" t="str">
        <x:f>INDEX(TrackMap!$F$8:$F$141,H1395)</x:f>
        <x:v>←</x:v>
      </x:c>
      <x:c r="M1395" s="87" t="n">
        <x:f>MAX(0,G1395/Control!$B$17)</x:f>
        <x:v>1</x:v>
      </x:c>
      <x:c r="N1395" s="73" t="n">
        <x:f>IF(N1389&gt;0,N1389,IF(G1395&gt;=Control!$B$17,A1395,0))</x:f>
        <x:v>201</x:v>
      </x:c>
      <x:c r="O1395" s="91" t="n">
        <x:f>IF(N1395&gt;0,Control!$B$17+Control!$B$8+1-N1395,G1395)-B1395/100000</x:f>
        <x:v>709.99998</x:v>
      </x:c>
      <x:c r="P1395" s="73" t="n">
        <x:f>COUNTIF($O$1394:$O$1399,"&gt;"&amp;O1395)+1</x:f>
        <x:v>6</x:v>
      </x:c>
      <x:c r="Q1395" s="83" t="n">
        <x:f>MAX($G$1394:$G$1399)-G1395</x:f>
        <x:v>0</x:v>
      </x:c>
      <x:c r="R1395" s="73" t="str">
        <x:f>INDEX(TrackMap!$B$8:$B$141,H1395)</x:f>
        <x:v>发车大直道</x:v>
      </x:c>
    </x:row>
    <x:row r="1396" ht="20" customHeight="1">
      <x:c r="A1396" s="73" t="n">
        <x:v>231</x:v>
      </x:c>
      <x:c r="B1396" s="73" t="n">
        <x:v>3</x:v>
      </x:c>
      <x:c r="C1396" s="73" t="str">
        <x:f>INDEX(Drivers!$B$8:$B$13,B1396)</x:f>
        <x:v>金翼</x:v>
      </x:c>
      <x:c r="D1396" s="83" t="n">
        <x:f>G1390</x:f>
        <x:v>670</x:v>
      </x:c>
      <x:c r="E1396" s="83" t="str">
        <x:f>IF(A1396=0,"GRID",IF(D1396&gt;=Control!$B$17,"FINISHED",IF(AND(A1396&gt;=INDEX(Drivers!$G$8:$G$13,B1396),A1396&lt;INDEX(Drivers!$G$8:$G$13,B1396)+INDEX(Drivers!$J$8:$J$13,B1396)),"PIT",IF(MOD(A1396+INDEX(Drivers!$F$8:$F$13,B1396),Control!$B$11)&lt;Control!$B$13,"BOOST","RACE"))))</x:f>
        <x:v>FINISHED</x:v>
      </x:c>
      <x:c r="F1396" s="83" t="n">
        <x:f>IF(OR(E1396="GRID",E1396="FINISHED",E1396="PIT"),0,MAX(Control!$B$15,(INDEX(Drivers!$D$8:$D$13,B1396)+INDEX(Drivers!$E$8:$E$13,B1396)*SIN((A1396+INDEX(Drivers!$F$8:$F$13,B1396)+Control!$B$16)*Control!$B$14))*INDEX(TrackMap!$M$8:$M$141,MOD(INT(D1396)-1,Control!$B$7)+1)*IF(E1396="BOOST",Control!$B$12,1)))</x:f>
        <x:v>0</x:v>
      </x:c>
      <x:c r="G1396" s="83" t="n">
        <x:f>IF(A1396=0,D1396,MIN(Control!$B$17,D1396+F1396))</x:f>
        <x:v>670</x:v>
      </x:c>
      <x:c r="H1396" s="73" t="n">
        <x:f>MOD(INT(G1396)-1,Control!$B$7)+1</x:f>
        <x:v>134</x:v>
      </x:c>
      <x:c r="I1396" s="73" t="n">
        <x:f>MIN(Control!$B$6,MAX(1,INT(MAX(0,G1396)/Control!$B$7)+1))</x:f>
        <x:v>5</x:v>
      </x:c>
      <x:c r="J1396" s="73" t="n">
        <x:f>INDEX(Drivers!$H$8:$H$13,B1396)</x:f>
        <x:v>1</x:v>
      </x:c>
      <x:c r="K1396" s="73" t="n">
        <x:f>IF(J1396=1,INDEX(TrackMap!$I$8:$I$141,H1396),INDEX(TrackMap!$L$8:$L$141,H1396))</x:f>
        <x:v>3117</x:v>
      </x:c>
      <x:c r="L1396" s="73" t="str">
        <x:f>INDEX(TrackMap!$F$8:$F$141,H1396)</x:f>
        <x:v>←</x:v>
      </x:c>
      <x:c r="M1396" s="87" t="n">
        <x:f>MAX(0,G1396/Control!$B$17)</x:f>
        <x:v>1</x:v>
      </x:c>
      <x:c r="N1396" s="73" t="n">
        <x:f>IF(N1390&gt;0,N1390,IF(G1396&gt;=Control!$B$17,A1396,0))</x:f>
        <x:v>195</x:v>
      </x:c>
      <x:c r="O1396" s="91" t="n">
        <x:f>IF(N1396&gt;0,Control!$B$17+Control!$B$8+1-N1396,G1396)-B1396/100000</x:f>
        <x:v>715.99997</x:v>
      </x:c>
      <x:c r="P1396" s="73" t="n">
        <x:f>COUNTIF($O$1394:$O$1399,"&gt;"&amp;O1396)+1</x:f>
        <x:v>2</x:v>
      </x:c>
      <x:c r="Q1396" s="83" t="n">
        <x:f>MAX($G$1394:$G$1399)-G1396</x:f>
        <x:v>0</x:v>
      </x:c>
      <x:c r="R1396" s="73" t="str">
        <x:f>INDEX(TrackMap!$B$8:$B$141,H1396)</x:f>
        <x:v>发车大直道</x:v>
      </x:c>
    </x:row>
    <x:row r="1397" ht="20" customHeight="1">
      <x:c r="A1397" s="73" t="n">
        <x:v>231</x:v>
      </x:c>
      <x:c r="B1397" s="73" t="n">
        <x:v>4</x:v>
      </x:c>
      <x:c r="C1397" s="73" t="str">
        <x:f>INDEX(Drivers!$B$8:$B$13,B1397)</x:f>
        <x:v>紫影</x:v>
      </x:c>
      <x:c r="D1397" s="83" t="n">
        <x:f>G1391</x:f>
        <x:v>670</x:v>
      </x:c>
      <x:c r="E1397" s="83" t="str">
        <x:f>IF(A1397=0,"GRID",IF(D1397&gt;=Control!$B$17,"FINISHED",IF(AND(A1397&gt;=INDEX(Drivers!$G$8:$G$13,B1397),A1397&lt;INDEX(Drivers!$G$8:$G$13,B1397)+INDEX(Drivers!$J$8:$J$13,B1397)),"PIT",IF(MOD(A1397+INDEX(Drivers!$F$8:$F$13,B1397),Control!$B$11)&lt;Control!$B$13,"BOOST","RACE"))))</x:f>
        <x:v>FINISHED</x:v>
      </x:c>
      <x:c r="F1397" s="83" t="n">
        <x:f>IF(OR(E1397="GRID",E1397="FINISHED",E1397="PIT"),0,MAX(Control!$B$15,(INDEX(Drivers!$D$8:$D$13,B1397)+INDEX(Drivers!$E$8:$E$13,B1397)*SIN((A1397+INDEX(Drivers!$F$8:$F$13,B1397)+Control!$B$16)*Control!$B$14))*INDEX(TrackMap!$M$8:$M$141,MOD(INT(D1397)-1,Control!$B$7)+1)*IF(E1397="BOOST",Control!$B$12,1)))</x:f>
        <x:v>0</x:v>
      </x:c>
      <x:c r="G1397" s="83" t="n">
        <x:f>IF(A1397=0,D1397,MIN(Control!$B$17,D1397+F1397))</x:f>
        <x:v>670</x:v>
      </x:c>
      <x:c r="H1397" s="73" t="n">
        <x:f>MOD(INT(G1397)-1,Control!$B$7)+1</x:f>
        <x:v>134</x:v>
      </x:c>
      <x:c r="I1397" s="73" t="n">
        <x:f>MIN(Control!$B$6,MAX(1,INT(MAX(0,G1397)/Control!$B$7)+1))</x:f>
        <x:v>5</x:v>
      </x:c>
      <x:c r="J1397" s="73" t="n">
        <x:f>INDEX(Drivers!$H$8:$H$13,B1397)</x:f>
        <x:v>2</x:v>
      </x:c>
      <x:c r="K1397" s="73" t="n">
        <x:f>IF(J1397=1,INDEX(TrackMap!$I$8:$I$141,H1397),INDEX(TrackMap!$L$8:$L$141,H1397))</x:f>
        <x:v>3017</x:v>
      </x:c>
      <x:c r="L1397" s="73" t="str">
        <x:f>INDEX(TrackMap!$F$8:$F$141,H1397)</x:f>
        <x:v>←</x:v>
      </x:c>
      <x:c r="M1397" s="87" t="n">
        <x:f>MAX(0,G1397/Control!$B$17)</x:f>
        <x:v>1</x:v>
      </x:c>
      <x:c r="N1397" s="73" t="n">
        <x:f>IF(N1391&gt;0,N1391,IF(G1397&gt;=Control!$B$17,A1397,0))</x:f>
        <x:v>198</x:v>
      </x:c>
      <x:c r="O1397" s="91" t="n">
        <x:f>IF(N1397&gt;0,Control!$B$17+Control!$B$8+1-N1397,G1397)-B1397/100000</x:f>
        <x:v>712.99996</x:v>
      </x:c>
      <x:c r="P1397" s="73" t="n">
        <x:f>COUNTIF($O$1394:$O$1399,"&gt;"&amp;O1397)+1</x:f>
        <x:v>5</x:v>
      </x:c>
      <x:c r="Q1397" s="83" t="n">
        <x:f>MAX($G$1394:$G$1399)-G1397</x:f>
        <x:v>0</x:v>
      </x:c>
      <x:c r="R1397" s="73" t="str">
        <x:f>INDEX(TrackMap!$B$8:$B$141,H1397)</x:f>
        <x:v>发车大直道</x:v>
      </x:c>
    </x:row>
    <x:row r="1398" ht="20" customHeight="1">
      <x:c r="A1398" s="73" t="n">
        <x:v>231</x:v>
      </x:c>
      <x:c r="B1398" s="73" t="n">
        <x:v>5</x:v>
      </x:c>
      <x:c r="C1398" s="73" t="str">
        <x:f>INDEX(Drivers!$B$8:$B$13,B1398)</x:f>
        <x:v>青锋</x:v>
      </x:c>
      <x:c r="D1398" s="83" t="n">
        <x:f>G1392</x:f>
        <x:v>670</x:v>
      </x:c>
      <x:c r="E1398" s="83" t="str">
        <x:f>IF(A1398=0,"GRID",IF(D1398&gt;=Control!$B$17,"FINISHED",IF(AND(A1398&gt;=INDEX(Drivers!$G$8:$G$13,B1398),A1398&lt;INDEX(Drivers!$G$8:$G$13,B1398)+INDEX(Drivers!$J$8:$J$13,B1398)),"PIT",IF(MOD(A1398+INDEX(Drivers!$F$8:$F$13,B1398),Control!$B$11)&lt;Control!$B$13,"BOOST","RACE"))))</x:f>
        <x:v>FINISHED</x:v>
      </x:c>
      <x:c r="F1398" s="83" t="n">
        <x:f>IF(OR(E1398="GRID",E1398="FINISHED",E1398="PIT"),0,MAX(Control!$B$15,(INDEX(Drivers!$D$8:$D$13,B1398)+INDEX(Drivers!$E$8:$E$13,B1398)*SIN((A1398+INDEX(Drivers!$F$8:$F$13,B1398)+Control!$B$16)*Control!$B$14))*INDEX(TrackMap!$M$8:$M$141,MOD(INT(D1398)-1,Control!$B$7)+1)*IF(E1398="BOOST",Control!$B$12,1)))</x:f>
        <x:v>0</x:v>
      </x:c>
      <x:c r="G1398" s="83" t="n">
        <x:f>IF(A1398=0,D1398,MIN(Control!$B$17,D1398+F1398))</x:f>
        <x:v>670</x:v>
      </x:c>
      <x:c r="H1398" s="73" t="n">
        <x:f>MOD(INT(G1398)-1,Control!$B$7)+1</x:f>
        <x:v>134</x:v>
      </x:c>
      <x:c r="I1398" s="73" t="n">
        <x:f>MIN(Control!$B$6,MAX(1,INT(MAX(0,G1398)/Control!$B$7)+1))</x:f>
        <x:v>5</x:v>
      </x:c>
      <x:c r="J1398" s="73" t="n">
        <x:f>INDEX(Drivers!$H$8:$H$13,B1398)</x:f>
        <x:v>1</x:v>
      </x:c>
      <x:c r="K1398" s="73" t="n">
        <x:f>IF(J1398=1,INDEX(TrackMap!$I$8:$I$141,H1398),INDEX(TrackMap!$L$8:$L$141,H1398))</x:f>
        <x:v>3117</x:v>
      </x:c>
      <x:c r="L1398" s="73" t="str">
        <x:f>INDEX(TrackMap!$F$8:$F$141,H1398)</x:f>
        <x:v>←</x:v>
      </x:c>
      <x:c r="M1398" s="87" t="n">
        <x:f>MAX(0,G1398/Control!$B$17)</x:f>
        <x:v>1</x:v>
      </x:c>
      <x:c r="N1398" s="73" t="n">
        <x:f>IF(N1392&gt;0,N1392,IF(G1398&gt;=Control!$B$17,A1398,0))</x:f>
        <x:v>195</x:v>
      </x:c>
      <x:c r="O1398" s="91" t="n">
        <x:f>IF(N1398&gt;0,Control!$B$17+Control!$B$8+1-N1398,G1398)-B1398/100000</x:f>
        <x:v>715.99995</x:v>
      </x:c>
      <x:c r="P1398" s="73" t="n">
        <x:f>COUNTIF($O$1394:$O$1399,"&gt;"&amp;O1398)+1</x:f>
        <x:v>3</x:v>
      </x:c>
      <x:c r="Q1398" s="83" t="n">
        <x:f>MAX($G$1394:$G$1399)-G1398</x:f>
        <x:v>0</x:v>
      </x:c>
      <x:c r="R1398" s="73" t="str">
        <x:f>INDEX(TrackMap!$B$8:$B$141,H1398)</x:f>
        <x:v>发车大直道</x:v>
      </x:c>
    </x:row>
    <x:row r="1399" ht="20" customHeight="1">
      <x:c r="A1399" s="73" t="n">
        <x:v>231</x:v>
      </x:c>
      <x:c r="B1399" s="73" t="n">
        <x:v>6</x:v>
      </x:c>
      <x:c r="C1399" s="73" t="str">
        <x:f>INDEX(Drivers!$B$8:$B$13,B1399)</x:f>
        <x:v>玫速</x:v>
      </x:c>
      <x:c r="D1399" s="83" t="n">
        <x:f>G1393</x:f>
        <x:v>670</x:v>
      </x:c>
      <x:c r="E1399" s="83" t="str">
        <x:f>IF(A1399=0,"GRID",IF(D1399&gt;=Control!$B$17,"FINISHED",IF(AND(A1399&gt;=INDEX(Drivers!$G$8:$G$13,B1399),A1399&lt;INDEX(Drivers!$G$8:$G$13,B1399)+INDEX(Drivers!$J$8:$J$13,B1399)),"PIT",IF(MOD(A1399+INDEX(Drivers!$F$8:$F$13,B1399),Control!$B$11)&lt;Control!$B$13,"BOOST","RACE"))))</x:f>
        <x:v>FINISHED</x:v>
      </x:c>
      <x:c r="F1399" s="83" t="n">
        <x:f>IF(OR(E1399="GRID",E1399="FINISHED",E1399="PIT"),0,MAX(Control!$B$15,(INDEX(Drivers!$D$8:$D$13,B1399)+INDEX(Drivers!$E$8:$E$13,B1399)*SIN((A1399+INDEX(Drivers!$F$8:$F$13,B1399)+Control!$B$16)*Control!$B$14))*INDEX(TrackMap!$M$8:$M$141,MOD(INT(D1399)-1,Control!$B$7)+1)*IF(E1399="BOOST",Control!$B$12,1)))</x:f>
        <x:v>0</x:v>
      </x:c>
      <x:c r="G1399" s="83" t="n">
        <x:f>IF(A1399=0,D1399,MIN(Control!$B$17,D1399+F1399))</x:f>
        <x:v>670</x:v>
      </x:c>
      <x:c r="H1399" s="73" t="n">
        <x:f>MOD(INT(G1399)-1,Control!$B$7)+1</x:f>
        <x:v>134</x:v>
      </x:c>
      <x:c r="I1399" s="73" t="n">
        <x:f>MIN(Control!$B$6,MAX(1,INT(MAX(0,G1399)/Control!$B$7)+1))</x:f>
        <x:v>5</x:v>
      </x:c>
      <x:c r="J1399" s="73" t="n">
        <x:f>INDEX(Drivers!$H$8:$H$13,B1399)</x:f>
        <x:v>2</x:v>
      </x:c>
      <x:c r="K1399" s="73" t="n">
        <x:f>IF(J1399=1,INDEX(TrackMap!$I$8:$I$141,H1399),INDEX(TrackMap!$L$8:$L$141,H1399))</x:f>
        <x:v>3017</x:v>
      </x:c>
      <x:c r="L1399" s="73" t="str">
        <x:f>INDEX(TrackMap!$F$8:$F$141,H1399)</x:f>
        <x:v>←</x:v>
      </x:c>
      <x:c r="M1399" s="87" t="n">
        <x:f>MAX(0,G1399/Control!$B$17)</x:f>
        <x:v>1</x:v>
      </x:c>
      <x:c r="N1399" s="73" t="n">
        <x:f>IF(N1393&gt;0,N1393,IF(G1399&gt;=Control!$B$17,A1399,0))</x:f>
        <x:v>196</x:v>
      </x:c>
      <x:c r="O1399" s="91" t="n">
        <x:f>IF(N1399&gt;0,Control!$B$17+Control!$B$8+1-N1399,G1399)-B1399/100000</x:f>
        <x:v>714.99994</x:v>
      </x:c>
      <x:c r="P1399" s="73" t="n">
        <x:f>COUNTIF($O$1394:$O$1399,"&gt;"&amp;O1399)+1</x:f>
        <x:v>4</x:v>
      </x:c>
      <x:c r="Q1399" s="83" t="n">
        <x:f>MAX($G$1394:$G$1399)-G1399</x:f>
        <x:v>0</x:v>
      </x:c>
      <x:c r="R1399" s="73" t="str">
        <x:f>INDEX(TrackMap!$B$8:$B$141,H1399)</x:f>
        <x:v>发车大直道</x:v>
      </x:c>
    </x:row>
    <x:row r="1400" ht="20" customHeight="1">
      <x:c r="A1400" s="73" t="n">
        <x:v>232</x:v>
      </x:c>
      <x:c r="B1400" s="73" t="n">
        <x:v>1</x:v>
      </x:c>
      <x:c r="C1400" s="73" t="str">
        <x:f>INDEX(Drivers!$B$8:$B$13,B1400)</x:f>
        <x:v>赤焰</x:v>
      </x:c>
      <x:c r="D1400" s="83" t="n">
        <x:f>G1394</x:f>
        <x:v>670</x:v>
      </x:c>
      <x:c r="E1400" s="83" t="str">
        <x:f>IF(A1400=0,"GRID",IF(D1400&gt;=Control!$B$17,"FINISHED",IF(AND(A1400&gt;=INDEX(Drivers!$G$8:$G$13,B1400),A1400&lt;INDEX(Drivers!$G$8:$G$13,B1400)+INDEX(Drivers!$J$8:$J$13,B1400)),"PIT",IF(MOD(A1400+INDEX(Drivers!$F$8:$F$13,B1400),Control!$B$11)&lt;Control!$B$13,"BOOST","RACE"))))</x:f>
        <x:v>FINISHED</x:v>
      </x:c>
      <x:c r="F1400" s="83" t="n">
        <x:f>IF(OR(E1400="GRID",E1400="FINISHED",E1400="PIT"),0,MAX(Control!$B$15,(INDEX(Drivers!$D$8:$D$13,B1400)+INDEX(Drivers!$E$8:$E$13,B1400)*SIN((A1400+INDEX(Drivers!$F$8:$F$13,B1400)+Control!$B$16)*Control!$B$14))*INDEX(TrackMap!$M$8:$M$141,MOD(INT(D1400)-1,Control!$B$7)+1)*IF(E1400="BOOST",Control!$B$12,1)))</x:f>
        <x:v>0</x:v>
      </x:c>
      <x:c r="G1400" s="83" t="n">
        <x:f>IF(A1400=0,D1400,MIN(Control!$B$17,D1400+F1400))</x:f>
        <x:v>670</x:v>
      </x:c>
      <x:c r="H1400" s="73" t="n">
        <x:f>MOD(INT(G1400)-1,Control!$B$7)+1</x:f>
        <x:v>134</x:v>
      </x:c>
      <x:c r="I1400" s="73" t="n">
        <x:f>MIN(Control!$B$6,MAX(1,INT(MAX(0,G1400)/Control!$B$7)+1))</x:f>
        <x:v>5</x:v>
      </x:c>
      <x:c r="J1400" s="73" t="n">
        <x:f>INDEX(Drivers!$H$8:$H$13,B1400)</x:f>
        <x:v>1</x:v>
      </x:c>
      <x:c r="K1400" s="73" t="n">
        <x:f>IF(J1400=1,INDEX(TrackMap!$I$8:$I$141,H1400),INDEX(TrackMap!$L$8:$L$141,H1400))</x:f>
        <x:v>3117</x:v>
      </x:c>
      <x:c r="L1400" s="73" t="str">
        <x:f>INDEX(TrackMap!$F$8:$F$141,H1400)</x:f>
        <x:v>←</x:v>
      </x:c>
      <x:c r="M1400" s="87" t="n">
        <x:f>MAX(0,G1400/Control!$B$17)</x:f>
        <x:v>1</x:v>
      </x:c>
      <x:c r="N1400" s="73" t="n">
        <x:f>IF(N1394&gt;0,N1394,IF(G1400&gt;=Control!$B$17,A1400,0))</x:f>
        <x:v>194</x:v>
      </x:c>
      <x:c r="O1400" s="91" t="n">
        <x:f>IF(N1400&gt;0,Control!$B$17+Control!$B$8+1-N1400,G1400)-B1400/100000</x:f>
        <x:v>716.99999</x:v>
      </x:c>
      <x:c r="P1400" s="73" t="n">
        <x:f>COUNTIF($O$1400:$O$1405,"&gt;"&amp;O1400)+1</x:f>
        <x:v>1</x:v>
      </x:c>
      <x:c r="Q1400" s="83" t="n">
        <x:f>MAX($G$1400:$G$1405)-G1400</x:f>
        <x:v>0</x:v>
      </x:c>
      <x:c r="R1400" s="73" t="str">
        <x:f>INDEX(TrackMap!$B$8:$B$141,H1400)</x:f>
        <x:v>发车大直道</x:v>
      </x:c>
    </x:row>
    <x:row r="1401" ht="20" customHeight="1">
      <x:c r="A1401" s="73" t="n">
        <x:v>232</x:v>
      </x:c>
      <x:c r="B1401" s="73" t="n">
        <x:v>2</x:v>
      </x:c>
      <x:c r="C1401" s="73" t="str">
        <x:f>INDEX(Drivers!$B$8:$B$13,B1401)</x:f>
        <x:v>蓝电</x:v>
      </x:c>
      <x:c r="D1401" s="83" t="n">
        <x:f>G1395</x:f>
        <x:v>670</x:v>
      </x:c>
      <x:c r="E1401" s="83" t="str">
        <x:f>IF(A1401=0,"GRID",IF(D1401&gt;=Control!$B$17,"FINISHED",IF(AND(A1401&gt;=INDEX(Drivers!$G$8:$G$13,B1401),A1401&lt;INDEX(Drivers!$G$8:$G$13,B1401)+INDEX(Drivers!$J$8:$J$13,B1401)),"PIT",IF(MOD(A1401+INDEX(Drivers!$F$8:$F$13,B1401),Control!$B$11)&lt;Control!$B$13,"BOOST","RACE"))))</x:f>
        <x:v>FINISHED</x:v>
      </x:c>
      <x:c r="F1401" s="83" t="n">
        <x:f>IF(OR(E1401="GRID",E1401="FINISHED",E1401="PIT"),0,MAX(Control!$B$15,(INDEX(Drivers!$D$8:$D$13,B1401)+INDEX(Drivers!$E$8:$E$13,B1401)*SIN((A1401+INDEX(Drivers!$F$8:$F$13,B1401)+Control!$B$16)*Control!$B$14))*INDEX(TrackMap!$M$8:$M$141,MOD(INT(D1401)-1,Control!$B$7)+1)*IF(E1401="BOOST",Control!$B$12,1)))</x:f>
        <x:v>0</x:v>
      </x:c>
      <x:c r="G1401" s="83" t="n">
        <x:f>IF(A1401=0,D1401,MIN(Control!$B$17,D1401+F1401))</x:f>
        <x:v>670</x:v>
      </x:c>
      <x:c r="H1401" s="73" t="n">
        <x:f>MOD(INT(G1401)-1,Control!$B$7)+1</x:f>
        <x:v>134</x:v>
      </x:c>
      <x:c r="I1401" s="73" t="n">
        <x:f>MIN(Control!$B$6,MAX(1,INT(MAX(0,G1401)/Control!$B$7)+1))</x:f>
        <x:v>5</x:v>
      </x:c>
      <x:c r="J1401" s="73" t="n">
        <x:f>INDEX(Drivers!$H$8:$H$13,B1401)</x:f>
        <x:v>2</x:v>
      </x:c>
      <x:c r="K1401" s="73" t="n">
        <x:f>IF(J1401=1,INDEX(TrackMap!$I$8:$I$141,H1401),INDEX(TrackMap!$L$8:$L$141,H1401))</x:f>
        <x:v>3017</x:v>
      </x:c>
      <x:c r="L1401" s="73" t="str">
        <x:f>INDEX(TrackMap!$F$8:$F$141,H1401)</x:f>
        <x:v>←</x:v>
      </x:c>
      <x:c r="M1401" s="87" t="n">
        <x:f>MAX(0,G1401/Control!$B$17)</x:f>
        <x:v>1</x:v>
      </x:c>
      <x:c r="N1401" s="73" t="n">
        <x:f>IF(N1395&gt;0,N1395,IF(G1401&gt;=Control!$B$17,A1401,0))</x:f>
        <x:v>201</x:v>
      </x:c>
      <x:c r="O1401" s="91" t="n">
        <x:f>IF(N1401&gt;0,Control!$B$17+Control!$B$8+1-N1401,G1401)-B1401/100000</x:f>
        <x:v>709.99998</x:v>
      </x:c>
      <x:c r="P1401" s="73" t="n">
        <x:f>COUNTIF($O$1400:$O$1405,"&gt;"&amp;O1401)+1</x:f>
        <x:v>6</x:v>
      </x:c>
      <x:c r="Q1401" s="83" t="n">
        <x:f>MAX($G$1400:$G$1405)-G1401</x:f>
        <x:v>0</x:v>
      </x:c>
      <x:c r="R1401" s="73" t="str">
        <x:f>INDEX(TrackMap!$B$8:$B$141,H1401)</x:f>
        <x:v>发车大直道</x:v>
      </x:c>
    </x:row>
    <x:row r="1402" ht="20" customHeight="1">
      <x:c r="A1402" s="73" t="n">
        <x:v>232</x:v>
      </x:c>
      <x:c r="B1402" s="73" t="n">
        <x:v>3</x:v>
      </x:c>
      <x:c r="C1402" s="73" t="str">
        <x:f>INDEX(Drivers!$B$8:$B$13,B1402)</x:f>
        <x:v>金翼</x:v>
      </x:c>
      <x:c r="D1402" s="83" t="n">
        <x:f>G1396</x:f>
        <x:v>670</x:v>
      </x:c>
      <x:c r="E1402" s="83" t="str">
        <x:f>IF(A1402=0,"GRID",IF(D1402&gt;=Control!$B$17,"FINISHED",IF(AND(A1402&gt;=INDEX(Drivers!$G$8:$G$13,B1402),A1402&lt;INDEX(Drivers!$G$8:$G$13,B1402)+INDEX(Drivers!$J$8:$J$13,B1402)),"PIT",IF(MOD(A1402+INDEX(Drivers!$F$8:$F$13,B1402),Control!$B$11)&lt;Control!$B$13,"BOOST","RACE"))))</x:f>
        <x:v>FINISHED</x:v>
      </x:c>
      <x:c r="F1402" s="83" t="n">
        <x:f>IF(OR(E1402="GRID",E1402="FINISHED",E1402="PIT"),0,MAX(Control!$B$15,(INDEX(Drivers!$D$8:$D$13,B1402)+INDEX(Drivers!$E$8:$E$13,B1402)*SIN((A1402+INDEX(Drivers!$F$8:$F$13,B1402)+Control!$B$16)*Control!$B$14))*INDEX(TrackMap!$M$8:$M$141,MOD(INT(D1402)-1,Control!$B$7)+1)*IF(E1402="BOOST",Control!$B$12,1)))</x:f>
        <x:v>0</x:v>
      </x:c>
      <x:c r="G1402" s="83" t="n">
        <x:f>IF(A1402=0,D1402,MIN(Control!$B$17,D1402+F1402))</x:f>
        <x:v>670</x:v>
      </x:c>
      <x:c r="H1402" s="73" t="n">
        <x:f>MOD(INT(G1402)-1,Control!$B$7)+1</x:f>
        <x:v>134</x:v>
      </x:c>
      <x:c r="I1402" s="73" t="n">
        <x:f>MIN(Control!$B$6,MAX(1,INT(MAX(0,G1402)/Control!$B$7)+1))</x:f>
        <x:v>5</x:v>
      </x:c>
      <x:c r="J1402" s="73" t="n">
        <x:f>INDEX(Drivers!$H$8:$H$13,B1402)</x:f>
        <x:v>1</x:v>
      </x:c>
      <x:c r="K1402" s="73" t="n">
        <x:f>IF(J1402=1,INDEX(TrackMap!$I$8:$I$141,H1402),INDEX(TrackMap!$L$8:$L$141,H1402))</x:f>
        <x:v>3117</x:v>
      </x:c>
      <x:c r="L1402" s="73" t="str">
        <x:f>INDEX(TrackMap!$F$8:$F$141,H1402)</x:f>
        <x:v>←</x:v>
      </x:c>
      <x:c r="M1402" s="87" t="n">
        <x:f>MAX(0,G1402/Control!$B$17)</x:f>
        <x:v>1</x:v>
      </x:c>
      <x:c r="N1402" s="73" t="n">
        <x:f>IF(N1396&gt;0,N1396,IF(G1402&gt;=Control!$B$17,A1402,0))</x:f>
        <x:v>195</x:v>
      </x:c>
      <x:c r="O1402" s="91" t="n">
        <x:f>IF(N1402&gt;0,Control!$B$17+Control!$B$8+1-N1402,G1402)-B1402/100000</x:f>
        <x:v>715.99997</x:v>
      </x:c>
      <x:c r="P1402" s="73" t="n">
        <x:f>COUNTIF($O$1400:$O$1405,"&gt;"&amp;O1402)+1</x:f>
        <x:v>2</x:v>
      </x:c>
      <x:c r="Q1402" s="83" t="n">
        <x:f>MAX($G$1400:$G$1405)-G1402</x:f>
        <x:v>0</x:v>
      </x:c>
      <x:c r="R1402" s="73" t="str">
        <x:f>INDEX(TrackMap!$B$8:$B$141,H1402)</x:f>
        <x:v>发车大直道</x:v>
      </x:c>
    </x:row>
    <x:row r="1403" ht="20" customHeight="1">
      <x:c r="A1403" s="73" t="n">
        <x:v>232</x:v>
      </x:c>
      <x:c r="B1403" s="73" t="n">
        <x:v>4</x:v>
      </x:c>
      <x:c r="C1403" s="73" t="str">
        <x:f>INDEX(Drivers!$B$8:$B$13,B1403)</x:f>
        <x:v>紫影</x:v>
      </x:c>
      <x:c r="D1403" s="83" t="n">
        <x:f>G1397</x:f>
        <x:v>670</x:v>
      </x:c>
      <x:c r="E1403" s="83" t="str">
        <x:f>IF(A1403=0,"GRID",IF(D1403&gt;=Control!$B$17,"FINISHED",IF(AND(A1403&gt;=INDEX(Drivers!$G$8:$G$13,B1403),A1403&lt;INDEX(Drivers!$G$8:$G$13,B1403)+INDEX(Drivers!$J$8:$J$13,B1403)),"PIT",IF(MOD(A1403+INDEX(Drivers!$F$8:$F$13,B1403),Control!$B$11)&lt;Control!$B$13,"BOOST","RACE"))))</x:f>
        <x:v>FINISHED</x:v>
      </x:c>
      <x:c r="F1403" s="83" t="n">
        <x:f>IF(OR(E1403="GRID",E1403="FINISHED",E1403="PIT"),0,MAX(Control!$B$15,(INDEX(Drivers!$D$8:$D$13,B1403)+INDEX(Drivers!$E$8:$E$13,B1403)*SIN((A1403+INDEX(Drivers!$F$8:$F$13,B1403)+Control!$B$16)*Control!$B$14))*INDEX(TrackMap!$M$8:$M$141,MOD(INT(D1403)-1,Control!$B$7)+1)*IF(E1403="BOOST",Control!$B$12,1)))</x:f>
        <x:v>0</x:v>
      </x:c>
      <x:c r="G1403" s="83" t="n">
        <x:f>IF(A1403=0,D1403,MIN(Control!$B$17,D1403+F1403))</x:f>
        <x:v>670</x:v>
      </x:c>
      <x:c r="H1403" s="73" t="n">
        <x:f>MOD(INT(G1403)-1,Control!$B$7)+1</x:f>
        <x:v>134</x:v>
      </x:c>
      <x:c r="I1403" s="73" t="n">
        <x:f>MIN(Control!$B$6,MAX(1,INT(MAX(0,G1403)/Control!$B$7)+1))</x:f>
        <x:v>5</x:v>
      </x:c>
      <x:c r="J1403" s="73" t="n">
        <x:f>INDEX(Drivers!$H$8:$H$13,B1403)</x:f>
        <x:v>2</x:v>
      </x:c>
      <x:c r="K1403" s="73" t="n">
        <x:f>IF(J1403=1,INDEX(TrackMap!$I$8:$I$141,H1403),INDEX(TrackMap!$L$8:$L$141,H1403))</x:f>
        <x:v>3017</x:v>
      </x:c>
      <x:c r="L1403" s="73" t="str">
        <x:f>INDEX(TrackMap!$F$8:$F$141,H1403)</x:f>
        <x:v>←</x:v>
      </x:c>
      <x:c r="M1403" s="87" t="n">
        <x:f>MAX(0,G1403/Control!$B$17)</x:f>
        <x:v>1</x:v>
      </x:c>
      <x:c r="N1403" s="73" t="n">
        <x:f>IF(N1397&gt;0,N1397,IF(G1403&gt;=Control!$B$17,A1403,0))</x:f>
        <x:v>198</x:v>
      </x:c>
      <x:c r="O1403" s="91" t="n">
        <x:f>IF(N1403&gt;0,Control!$B$17+Control!$B$8+1-N1403,G1403)-B1403/100000</x:f>
        <x:v>712.99996</x:v>
      </x:c>
      <x:c r="P1403" s="73" t="n">
        <x:f>COUNTIF($O$1400:$O$1405,"&gt;"&amp;O1403)+1</x:f>
        <x:v>5</x:v>
      </x:c>
      <x:c r="Q1403" s="83" t="n">
        <x:f>MAX($G$1400:$G$1405)-G1403</x:f>
        <x:v>0</x:v>
      </x:c>
      <x:c r="R1403" s="73" t="str">
        <x:f>INDEX(TrackMap!$B$8:$B$141,H1403)</x:f>
        <x:v>发车大直道</x:v>
      </x:c>
    </x:row>
    <x:row r="1404" ht="20" customHeight="1">
      <x:c r="A1404" s="73" t="n">
        <x:v>232</x:v>
      </x:c>
      <x:c r="B1404" s="73" t="n">
        <x:v>5</x:v>
      </x:c>
      <x:c r="C1404" s="73" t="str">
        <x:f>INDEX(Drivers!$B$8:$B$13,B1404)</x:f>
        <x:v>青锋</x:v>
      </x:c>
      <x:c r="D1404" s="83" t="n">
        <x:f>G1398</x:f>
        <x:v>670</x:v>
      </x:c>
      <x:c r="E1404" s="83" t="str">
        <x:f>IF(A1404=0,"GRID",IF(D1404&gt;=Control!$B$17,"FINISHED",IF(AND(A1404&gt;=INDEX(Drivers!$G$8:$G$13,B1404),A1404&lt;INDEX(Drivers!$G$8:$G$13,B1404)+INDEX(Drivers!$J$8:$J$13,B1404)),"PIT",IF(MOD(A1404+INDEX(Drivers!$F$8:$F$13,B1404),Control!$B$11)&lt;Control!$B$13,"BOOST","RACE"))))</x:f>
        <x:v>FINISHED</x:v>
      </x:c>
      <x:c r="F1404" s="83" t="n">
        <x:f>IF(OR(E1404="GRID",E1404="FINISHED",E1404="PIT"),0,MAX(Control!$B$15,(INDEX(Drivers!$D$8:$D$13,B1404)+INDEX(Drivers!$E$8:$E$13,B1404)*SIN((A1404+INDEX(Drivers!$F$8:$F$13,B1404)+Control!$B$16)*Control!$B$14))*INDEX(TrackMap!$M$8:$M$141,MOD(INT(D1404)-1,Control!$B$7)+1)*IF(E1404="BOOST",Control!$B$12,1)))</x:f>
        <x:v>0</x:v>
      </x:c>
      <x:c r="G1404" s="83" t="n">
        <x:f>IF(A1404=0,D1404,MIN(Control!$B$17,D1404+F1404))</x:f>
        <x:v>670</x:v>
      </x:c>
      <x:c r="H1404" s="73" t="n">
        <x:f>MOD(INT(G1404)-1,Control!$B$7)+1</x:f>
        <x:v>134</x:v>
      </x:c>
      <x:c r="I1404" s="73" t="n">
        <x:f>MIN(Control!$B$6,MAX(1,INT(MAX(0,G1404)/Control!$B$7)+1))</x:f>
        <x:v>5</x:v>
      </x:c>
      <x:c r="J1404" s="73" t="n">
        <x:f>INDEX(Drivers!$H$8:$H$13,B1404)</x:f>
        <x:v>1</x:v>
      </x:c>
      <x:c r="K1404" s="73" t="n">
        <x:f>IF(J1404=1,INDEX(TrackMap!$I$8:$I$141,H1404),INDEX(TrackMap!$L$8:$L$141,H1404))</x:f>
        <x:v>3117</x:v>
      </x:c>
      <x:c r="L1404" s="73" t="str">
        <x:f>INDEX(TrackMap!$F$8:$F$141,H1404)</x:f>
        <x:v>←</x:v>
      </x:c>
      <x:c r="M1404" s="87" t="n">
        <x:f>MAX(0,G1404/Control!$B$17)</x:f>
        <x:v>1</x:v>
      </x:c>
      <x:c r="N1404" s="73" t="n">
        <x:f>IF(N1398&gt;0,N1398,IF(G1404&gt;=Control!$B$17,A1404,0))</x:f>
        <x:v>195</x:v>
      </x:c>
      <x:c r="O1404" s="91" t="n">
        <x:f>IF(N1404&gt;0,Control!$B$17+Control!$B$8+1-N1404,G1404)-B1404/100000</x:f>
        <x:v>715.99995</x:v>
      </x:c>
      <x:c r="P1404" s="73" t="n">
        <x:f>COUNTIF($O$1400:$O$1405,"&gt;"&amp;O1404)+1</x:f>
        <x:v>3</x:v>
      </x:c>
      <x:c r="Q1404" s="83" t="n">
        <x:f>MAX($G$1400:$G$1405)-G1404</x:f>
        <x:v>0</x:v>
      </x:c>
      <x:c r="R1404" s="73" t="str">
        <x:f>INDEX(TrackMap!$B$8:$B$141,H1404)</x:f>
        <x:v>发车大直道</x:v>
      </x:c>
    </x:row>
    <x:row r="1405" ht="20" customHeight="1">
      <x:c r="A1405" s="73" t="n">
        <x:v>232</x:v>
      </x:c>
      <x:c r="B1405" s="73" t="n">
        <x:v>6</x:v>
      </x:c>
      <x:c r="C1405" s="73" t="str">
        <x:f>INDEX(Drivers!$B$8:$B$13,B1405)</x:f>
        <x:v>玫速</x:v>
      </x:c>
      <x:c r="D1405" s="83" t="n">
        <x:f>G1399</x:f>
        <x:v>670</x:v>
      </x:c>
      <x:c r="E1405" s="83" t="str">
        <x:f>IF(A1405=0,"GRID",IF(D1405&gt;=Control!$B$17,"FINISHED",IF(AND(A1405&gt;=INDEX(Drivers!$G$8:$G$13,B1405),A1405&lt;INDEX(Drivers!$G$8:$G$13,B1405)+INDEX(Drivers!$J$8:$J$13,B1405)),"PIT",IF(MOD(A1405+INDEX(Drivers!$F$8:$F$13,B1405),Control!$B$11)&lt;Control!$B$13,"BOOST","RACE"))))</x:f>
        <x:v>FINISHED</x:v>
      </x:c>
      <x:c r="F1405" s="83" t="n">
        <x:f>IF(OR(E1405="GRID",E1405="FINISHED",E1405="PIT"),0,MAX(Control!$B$15,(INDEX(Drivers!$D$8:$D$13,B1405)+INDEX(Drivers!$E$8:$E$13,B1405)*SIN((A1405+INDEX(Drivers!$F$8:$F$13,B1405)+Control!$B$16)*Control!$B$14))*INDEX(TrackMap!$M$8:$M$141,MOD(INT(D1405)-1,Control!$B$7)+1)*IF(E1405="BOOST",Control!$B$12,1)))</x:f>
        <x:v>0</x:v>
      </x:c>
      <x:c r="G1405" s="83" t="n">
        <x:f>IF(A1405=0,D1405,MIN(Control!$B$17,D1405+F1405))</x:f>
        <x:v>670</x:v>
      </x:c>
      <x:c r="H1405" s="73" t="n">
        <x:f>MOD(INT(G1405)-1,Control!$B$7)+1</x:f>
        <x:v>134</x:v>
      </x:c>
      <x:c r="I1405" s="73" t="n">
        <x:f>MIN(Control!$B$6,MAX(1,INT(MAX(0,G1405)/Control!$B$7)+1))</x:f>
        <x:v>5</x:v>
      </x:c>
      <x:c r="J1405" s="73" t="n">
        <x:f>INDEX(Drivers!$H$8:$H$13,B1405)</x:f>
        <x:v>2</x:v>
      </x:c>
      <x:c r="K1405" s="73" t="n">
        <x:f>IF(J1405=1,INDEX(TrackMap!$I$8:$I$141,H1405),INDEX(TrackMap!$L$8:$L$141,H1405))</x:f>
        <x:v>3017</x:v>
      </x:c>
      <x:c r="L1405" s="73" t="str">
        <x:f>INDEX(TrackMap!$F$8:$F$141,H1405)</x:f>
        <x:v>←</x:v>
      </x:c>
      <x:c r="M1405" s="87" t="n">
        <x:f>MAX(0,G1405/Control!$B$17)</x:f>
        <x:v>1</x:v>
      </x:c>
      <x:c r="N1405" s="73" t="n">
        <x:f>IF(N1399&gt;0,N1399,IF(G1405&gt;=Control!$B$17,A1405,0))</x:f>
        <x:v>196</x:v>
      </x:c>
      <x:c r="O1405" s="91" t="n">
        <x:f>IF(N1405&gt;0,Control!$B$17+Control!$B$8+1-N1405,G1405)-B1405/100000</x:f>
        <x:v>714.99994</x:v>
      </x:c>
      <x:c r="P1405" s="73" t="n">
        <x:f>COUNTIF($O$1400:$O$1405,"&gt;"&amp;O1405)+1</x:f>
        <x:v>4</x:v>
      </x:c>
      <x:c r="Q1405" s="83" t="n">
        <x:f>MAX($G$1400:$G$1405)-G1405</x:f>
        <x:v>0</x:v>
      </x:c>
      <x:c r="R1405" s="73" t="str">
        <x:f>INDEX(TrackMap!$B$8:$B$141,H1405)</x:f>
        <x:v>发车大直道</x:v>
      </x:c>
    </x:row>
    <x:row r="1406" ht="20" customHeight="1">
      <x:c r="A1406" s="73" t="n">
        <x:v>233</x:v>
      </x:c>
      <x:c r="B1406" s="73" t="n">
        <x:v>1</x:v>
      </x:c>
      <x:c r="C1406" s="73" t="str">
        <x:f>INDEX(Drivers!$B$8:$B$13,B1406)</x:f>
        <x:v>赤焰</x:v>
      </x:c>
      <x:c r="D1406" s="83" t="n">
        <x:f>G1400</x:f>
        <x:v>670</x:v>
      </x:c>
      <x:c r="E1406" s="83" t="str">
        <x:f>IF(A1406=0,"GRID",IF(D1406&gt;=Control!$B$17,"FINISHED",IF(AND(A1406&gt;=INDEX(Drivers!$G$8:$G$13,B1406),A1406&lt;INDEX(Drivers!$G$8:$G$13,B1406)+INDEX(Drivers!$J$8:$J$13,B1406)),"PIT",IF(MOD(A1406+INDEX(Drivers!$F$8:$F$13,B1406),Control!$B$11)&lt;Control!$B$13,"BOOST","RACE"))))</x:f>
        <x:v>FINISHED</x:v>
      </x:c>
      <x:c r="F1406" s="83" t="n">
        <x:f>IF(OR(E1406="GRID",E1406="FINISHED",E1406="PIT"),0,MAX(Control!$B$15,(INDEX(Drivers!$D$8:$D$13,B1406)+INDEX(Drivers!$E$8:$E$13,B1406)*SIN((A1406+INDEX(Drivers!$F$8:$F$13,B1406)+Control!$B$16)*Control!$B$14))*INDEX(TrackMap!$M$8:$M$141,MOD(INT(D1406)-1,Control!$B$7)+1)*IF(E1406="BOOST",Control!$B$12,1)))</x:f>
        <x:v>0</x:v>
      </x:c>
      <x:c r="G1406" s="83" t="n">
        <x:f>IF(A1406=0,D1406,MIN(Control!$B$17,D1406+F1406))</x:f>
        <x:v>670</x:v>
      </x:c>
      <x:c r="H1406" s="73" t="n">
        <x:f>MOD(INT(G1406)-1,Control!$B$7)+1</x:f>
        <x:v>134</x:v>
      </x:c>
      <x:c r="I1406" s="73" t="n">
        <x:f>MIN(Control!$B$6,MAX(1,INT(MAX(0,G1406)/Control!$B$7)+1))</x:f>
        <x:v>5</x:v>
      </x:c>
      <x:c r="J1406" s="73" t="n">
        <x:f>INDEX(Drivers!$H$8:$H$13,B1406)</x:f>
        <x:v>1</x:v>
      </x:c>
      <x:c r="K1406" s="73" t="n">
        <x:f>IF(J1406=1,INDEX(TrackMap!$I$8:$I$141,H1406),INDEX(TrackMap!$L$8:$L$141,H1406))</x:f>
        <x:v>3117</x:v>
      </x:c>
      <x:c r="L1406" s="73" t="str">
        <x:f>INDEX(TrackMap!$F$8:$F$141,H1406)</x:f>
        <x:v>←</x:v>
      </x:c>
      <x:c r="M1406" s="87" t="n">
        <x:f>MAX(0,G1406/Control!$B$17)</x:f>
        <x:v>1</x:v>
      </x:c>
      <x:c r="N1406" s="73" t="n">
        <x:f>IF(N1400&gt;0,N1400,IF(G1406&gt;=Control!$B$17,A1406,0))</x:f>
        <x:v>194</x:v>
      </x:c>
      <x:c r="O1406" s="91" t="n">
        <x:f>IF(N1406&gt;0,Control!$B$17+Control!$B$8+1-N1406,G1406)-B1406/100000</x:f>
        <x:v>716.99999</x:v>
      </x:c>
      <x:c r="P1406" s="73" t="n">
        <x:f>COUNTIF($O$1406:$O$1411,"&gt;"&amp;O1406)+1</x:f>
        <x:v>1</x:v>
      </x:c>
      <x:c r="Q1406" s="83" t="n">
        <x:f>MAX($G$1406:$G$1411)-G1406</x:f>
        <x:v>0</x:v>
      </x:c>
      <x:c r="R1406" s="73" t="str">
        <x:f>INDEX(TrackMap!$B$8:$B$141,H1406)</x:f>
        <x:v>发车大直道</x:v>
      </x:c>
    </x:row>
    <x:row r="1407" ht="20" customHeight="1">
      <x:c r="A1407" s="73" t="n">
        <x:v>233</x:v>
      </x:c>
      <x:c r="B1407" s="73" t="n">
        <x:v>2</x:v>
      </x:c>
      <x:c r="C1407" s="73" t="str">
        <x:f>INDEX(Drivers!$B$8:$B$13,B1407)</x:f>
        <x:v>蓝电</x:v>
      </x:c>
      <x:c r="D1407" s="83" t="n">
        <x:f>G1401</x:f>
        <x:v>670</x:v>
      </x:c>
      <x:c r="E1407" s="83" t="str">
        <x:f>IF(A1407=0,"GRID",IF(D1407&gt;=Control!$B$17,"FINISHED",IF(AND(A1407&gt;=INDEX(Drivers!$G$8:$G$13,B1407),A1407&lt;INDEX(Drivers!$G$8:$G$13,B1407)+INDEX(Drivers!$J$8:$J$13,B1407)),"PIT",IF(MOD(A1407+INDEX(Drivers!$F$8:$F$13,B1407),Control!$B$11)&lt;Control!$B$13,"BOOST","RACE"))))</x:f>
        <x:v>FINISHED</x:v>
      </x:c>
      <x:c r="F1407" s="83" t="n">
        <x:f>IF(OR(E1407="GRID",E1407="FINISHED",E1407="PIT"),0,MAX(Control!$B$15,(INDEX(Drivers!$D$8:$D$13,B1407)+INDEX(Drivers!$E$8:$E$13,B1407)*SIN((A1407+INDEX(Drivers!$F$8:$F$13,B1407)+Control!$B$16)*Control!$B$14))*INDEX(TrackMap!$M$8:$M$141,MOD(INT(D1407)-1,Control!$B$7)+1)*IF(E1407="BOOST",Control!$B$12,1)))</x:f>
        <x:v>0</x:v>
      </x:c>
      <x:c r="G1407" s="83" t="n">
        <x:f>IF(A1407=0,D1407,MIN(Control!$B$17,D1407+F1407))</x:f>
        <x:v>670</x:v>
      </x:c>
      <x:c r="H1407" s="73" t="n">
        <x:f>MOD(INT(G1407)-1,Control!$B$7)+1</x:f>
        <x:v>134</x:v>
      </x:c>
      <x:c r="I1407" s="73" t="n">
        <x:f>MIN(Control!$B$6,MAX(1,INT(MAX(0,G1407)/Control!$B$7)+1))</x:f>
        <x:v>5</x:v>
      </x:c>
      <x:c r="J1407" s="73" t="n">
        <x:f>INDEX(Drivers!$H$8:$H$13,B1407)</x:f>
        <x:v>2</x:v>
      </x:c>
      <x:c r="K1407" s="73" t="n">
        <x:f>IF(J1407=1,INDEX(TrackMap!$I$8:$I$141,H1407),INDEX(TrackMap!$L$8:$L$141,H1407))</x:f>
        <x:v>3017</x:v>
      </x:c>
      <x:c r="L1407" s="73" t="str">
        <x:f>INDEX(TrackMap!$F$8:$F$141,H1407)</x:f>
        <x:v>←</x:v>
      </x:c>
      <x:c r="M1407" s="87" t="n">
        <x:f>MAX(0,G1407/Control!$B$17)</x:f>
        <x:v>1</x:v>
      </x:c>
      <x:c r="N1407" s="73" t="n">
        <x:f>IF(N1401&gt;0,N1401,IF(G1407&gt;=Control!$B$17,A1407,0))</x:f>
        <x:v>201</x:v>
      </x:c>
      <x:c r="O1407" s="91" t="n">
        <x:f>IF(N1407&gt;0,Control!$B$17+Control!$B$8+1-N1407,G1407)-B1407/100000</x:f>
        <x:v>709.99998</x:v>
      </x:c>
      <x:c r="P1407" s="73" t="n">
        <x:f>COUNTIF($O$1406:$O$1411,"&gt;"&amp;O1407)+1</x:f>
        <x:v>6</x:v>
      </x:c>
      <x:c r="Q1407" s="83" t="n">
        <x:f>MAX($G$1406:$G$1411)-G1407</x:f>
        <x:v>0</x:v>
      </x:c>
      <x:c r="R1407" s="73" t="str">
        <x:f>INDEX(TrackMap!$B$8:$B$141,H1407)</x:f>
        <x:v>发车大直道</x:v>
      </x:c>
    </x:row>
    <x:row r="1408" ht="20" customHeight="1">
      <x:c r="A1408" s="73" t="n">
        <x:v>233</x:v>
      </x:c>
      <x:c r="B1408" s="73" t="n">
        <x:v>3</x:v>
      </x:c>
      <x:c r="C1408" s="73" t="str">
        <x:f>INDEX(Drivers!$B$8:$B$13,B1408)</x:f>
        <x:v>金翼</x:v>
      </x:c>
      <x:c r="D1408" s="83" t="n">
        <x:f>G1402</x:f>
        <x:v>670</x:v>
      </x:c>
      <x:c r="E1408" s="83" t="str">
        <x:f>IF(A1408=0,"GRID",IF(D1408&gt;=Control!$B$17,"FINISHED",IF(AND(A1408&gt;=INDEX(Drivers!$G$8:$G$13,B1408),A1408&lt;INDEX(Drivers!$G$8:$G$13,B1408)+INDEX(Drivers!$J$8:$J$13,B1408)),"PIT",IF(MOD(A1408+INDEX(Drivers!$F$8:$F$13,B1408),Control!$B$11)&lt;Control!$B$13,"BOOST","RACE"))))</x:f>
        <x:v>FINISHED</x:v>
      </x:c>
      <x:c r="F1408" s="83" t="n">
        <x:f>IF(OR(E1408="GRID",E1408="FINISHED",E1408="PIT"),0,MAX(Control!$B$15,(INDEX(Drivers!$D$8:$D$13,B1408)+INDEX(Drivers!$E$8:$E$13,B1408)*SIN((A1408+INDEX(Drivers!$F$8:$F$13,B1408)+Control!$B$16)*Control!$B$14))*INDEX(TrackMap!$M$8:$M$141,MOD(INT(D1408)-1,Control!$B$7)+1)*IF(E1408="BOOST",Control!$B$12,1)))</x:f>
        <x:v>0</x:v>
      </x:c>
      <x:c r="G1408" s="83" t="n">
        <x:f>IF(A1408=0,D1408,MIN(Control!$B$17,D1408+F1408))</x:f>
        <x:v>670</x:v>
      </x:c>
      <x:c r="H1408" s="73" t="n">
        <x:f>MOD(INT(G1408)-1,Control!$B$7)+1</x:f>
        <x:v>134</x:v>
      </x:c>
      <x:c r="I1408" s="73" t="n">
        <x:f>MIN(Control!$B$6,MAX(1,INT(MAX(0,G1408)/Control!$B$7)+1))</x:f>
        <x:v>5</x:v>
      </x:c>
      <x:c r="J1408" s="73" t="n">
        <x:f>INDEX(Drivers!$H$8:$H$13,B1408)</x:f>
        <x:v>1</x:v>
      </x:c>
      <x:c r="K1408" s="73" t="n">
        <x:f>IF(J1408=1,INDEX(TrackMap!$I$8:$I$141,H1408),INDEX(TrackMap!$L$8:$L$141,H1408))</x:f>
        <x:v>3117</x:v>
      </x:c>
      <x:c r="L1408" s="73" t="str">
        <x:f>INDEX(TrackMap!$F$8:$F$141,H1408)</x:f>
        <x:v>←</x:v>
      </x:c>
      <x:c r="M1408" s="87" t="n">
        <x:f>MAX(0,G1408/Control!$B$17)</x:f>
        <x:v>1</x:v>
      </x:c>
      <x:c r="N1408" s="73" t="n">
        <x:f>IF(N1402&gt;0,N1402,IF(G1408&gt;=Control!$B$17,A1408,0))</x:f>
        <x:v>195</x:v>
      </x:c>
      <x:c r="O1408" s="91" t="n">
        <x:f>IF(N1408&gt;0,Control!$B$17+Control!$B$8+1-N1408,G1408)-B1408/100000</x:f>
        <x:v>715.99997</x:v>
      </x:c>
      <x:c r="P1408" s="73" t="n">
        <x:f>COUNTIF($O$1406:$O$1411,"&gt;"&amp;O1408)+1</x:f>
        <x:v>2</x:v>
      </x:c>
      <x:c r="Q1408" s="83" t="n">
        <x:f>MAX($G$1406:$G$1411)-G1408</x:f>
        <x:v>0</x:v>
      </x:c>
      <x:c r="R1408" s="73" t="str">
        <x:f>INDEX(TrackMap!$B$8:$B$141,H1408)</x:f>
        <x:v>发车大直道</x:v>
      </x:c>
    </x:row>
    <x:row r="1409" ht="20" customHeight="1">
      <x:c r="A1409" s="73" t="n">
        <x:v>233</x:v>
      </x:c>
      <x:c r="B1409" s="73" t="n">
        <x:v>4</x:v>
      </x:c>
      <x:c r="C1409" s="73" t="str">
        <x:f>INDEX(Drivers!$B$8:$B$13,B1409)</x:f>
        <x:v>紫影</x:v>
      </x:c>
      <x:c r="D1409" s="83" t="n">
        <x:f>G1403</x:f>
        <x:v>670</x:v>
      </x:c>
      <x:c r="E1409" s="83" t="str">
        <x:f>IF(A1409=0,"GRID",IF(D1409&gt;=Control!$B$17,"FINISHED",IF(AND(A1409&gt;=INDEX(Drivers!$G$8:$G$13,B1409),A1409&lt;INDEX(Drivers!$G$8:$G$13,B1409)+INDEX(Drivers!$J$8:$J$13,B1409)),"PIT",IF(MOD(A1409+INDEX(Drivers!$F$8:$F$13,B1409),Control!$B$11)&lt;Control!$B$13,"BOOST","RACE"))))</x:f>
        <x:v>FINISHED</x:v>
      </x:c>
      <x:c r="F1409" s="83" t="n">
        <x:f>IF(OR(E1409="GRID",E1409="FINISHED",E1409="PIT"),0,MAX(Control!$B$15,(INDEX(Drivers!$D$8:$D$13,B1409)+INDEX(Drivers!$E$8:$E$13,B1409)*SIN((A1409+INDEX(Drivers!$F$8:$F$13,B1409)+Control!$B$16)*Control!$B$14))*INDEX(TrackMap!$M$8:$M$141,MOD(INT(D1409)-1,Control!$B$7)+1)*IF(E1409="BOOST",Control!$B$12,1)))</x:f>
        <x:v>0</x:v>
      </x:c>
      <x:c r="G1409" s="83" t="n">
        <x:f>IF(A1409=0,D1409,MIN(Control!$B$17,D1409+F1409))</x:f>
        <x:v>670</x:v>
      </x:c>
      <x:c r="H1409" s="73" t="n">
        <x:f>MOD(INT(G1409)-1,Control!$B$7)+1</x:f>
        <x:v>134</x:v>
      </x:c>
      <x:c r="I1409" s="73" t="n">
        <x:f>MIN(Control!$B$6,MAX(1,INT(MAX(0,G1409)/Control!$B$7)+1))</x:f>
        <x:v>5</x:v>
      </x:c>
      <x:c r="J1409" s="73" t="n">
        <x:f>INDEX(Drivers!$H$8:$H$13,B1409)</x:f>
        <x:v>2</x:v>
      </x:c>
      <x:c r="K1409" s="73" t="n">
        <x:f>IF(J1409=1,INDEX(TrackMap!$I$8:$I$141,H1409),INDEX(TrackMap!$L$8:$L$141,H1409))</x:f>
        <x:v>3017</x:v>
      </x:c>
      <x:c r="L1409" s="73" t="str">
        <x:f>INDEX(TrackMap!$F$8:$F$141,H1409)</x:f>
        <x:v>←</x:v>
      </x:c>
      <x:c r="M1409" s="87" t="n">
        <x:f>MAX(0,G1409/Control!$B$17)</x:f>
        <x:v>1</x:v>
      </x:c>
      <x:c r="N1409" s="73" t="n">
        <x:f>IF(N1403&gt;0,N1403,IF(G1409&gt;=Control!$B$17,A1409,0))</x:f>
        <x:v>198</x:v>
      </x:c>
      <x:c r="O1409" s="91" t="n">
        <x:f>IF(N1409&gt;0,Control!$B$17+Control!$B$8+1-N1409,G1409)-B1409/100000</x:f>
        <x:v>712.99996</x:v>
      </x:c>
      <x:c r="P1409" s="73" t="n">
        <x:f>COUNTIF($O$1406:$O$1411,"&gt;"&amp;O1409)+1</x:f>
        <x:v>5</x:v>
      </x:c>
      <x:c r="Q1409" s="83" t="n">
        <x:f>MAX($G$1406:$G$1411)-G1409</x:f>
        <x:v>0</x:v>
      </x:c>
      <x:c r="R1409" s="73" t="str">
        <x:f>INDEX(TrackMap!$B$8:$B$141,H1409)</x:f>
        <x:v>发车大直道</x:v>
      </x:c>
    </x:row>
    <x:row r="1410" ht="20" customHeight="1">
      <x:c r="A1410" s="73" t="n">
        <x:v>233</x:v>
      </x:c>
      <x:c r="B1410" s="73" t="n">
        <x:v>5</x:v>
      </x:c>
      <x:c r="C1410" s="73" t="str">
        <x:f>INDEX(Drivers!$B$8:$B$13,B1410)</x:f>
        <x:v>青锋</x:v>
      </x:c>
      <x:c r="D1410" s="83" t="n">
        <x:f>G1404</x:f>
        <x:v>670</x:v>
      </x:c>
      <x:c r="E1410" s="83" t="str">
        <x:f>IF(A1410=0,"GRID",IF(D1410&gt;=Control!$B$17,"FINISHED",IF(AND(A1410&gt;=INDEX(Drivers!$G$8:$G$13,B1410),A1410&lt;INDEX(Drivers!$G$8:$G$13,B1410)+INDEX(Drivers!$J$8:$J$13,B1410)),"PIT",IF(MOD(A1410+INDEX(Drivers!$F$8:$F$13,B1410),Control!$B$11)&lt;Control!$B$13,"BOOST","RACE"))))</x:f>
        <x:v>FINISHED</x:v>
      </x:c>
      <x:c r="F1410" s="83" t="n">
        <x:f>IF(OR(E1410="GRID",E1410="FINISHED",E1410="PIT"),0,MAX(Control!$B$15,(INDEX(Drivers!$D$8:$D$13,B1410)+INDEX(Drivers!$E$8:$E$13,B1410)*SIN((A1410+INDEX(Drivers!$F$8:$F$13,B1410)+Control!$B$16)*Control!$B$14))*INDEX(TrackMap!$M$8:$M$141,MOD(INT(D1410)-1,Control!$B$7)+1)*IF(E1410="BOOST",Control!$B$12,1)))</x:f>
        <x:v>0</x:v>
      </x:c>
      <x:c r="G1410" s="83" t="n">
        <x:f>IF(A1410=0,D1410,MIN(Control!$B$17,D1410+F1410))</x:f>
        <x:v>670</x:v>
      </x:c>
      <x:c r="H1410" s="73" t="n">
        <x:f>MOD(INT(G1410)-1,Control!$B$7)+1</x:f>
        <x:v>134</x:v>
      </x:c>
      <x:c r="I1410" s="73" t="n">
        <x:f>MIN(Control!$B$6,MAX(1,INT(MAX(0,G1410)/Control!$B$7)+1))</x:f>
        <x:v>5</x:v>
      </x:c>
      <x:c r="J1410" s="73" t="n">
        <x:f>INDEX(Drivers!$H$8:$H$13,B1410)</x:f>
        <x:v>1</x:v>
      </x:c>
      <x:c r="K1410" s="73" t="n">
        <x:f>IF(J1410=1,INDEX(TrackMap!$I$8:$I$141,H1410),INDEX(TrackMap!$L$8:$L$141,H1410))</x:f>
        <x:v>3117</x:v>
      </x:c>
      <x:c r="L1410" s="73" t="str">
        <x:f>INDEX(TrackMap!$F$8:$F$141,H1410)</x:f>
        <x:v>←</x:v>
      </x:c>
      <x:c r="M1410" s="87" t="n">
        <x:f>MAX(0,G1410/Control!$B$17)</x:f>
        <x:v>1</x:v>
      </x:c>
      <x:c r="N1410" s="73" t="n">
        <x:f>IF(N1404&gt;0,N1404,IF(G1410&gt;=Control!$B$17,A1410,0))</x:f>
        <x:v>195</x:v>
      </x:c>
      <x:c r="O1410" s="91" t="n">
        <x:f>IF(N1410&gt;0,Control!$B$17+Control!$B$8+1-N1410,G1410)-B1410/100000</x:f>
        <x:v>715.99995</x:v>
      </x:c>
      <x:c r="P1410" s="73" t="n">
        <x:f>COUNTIF($O$1406:$O$1411,"&gt;"&amp;O1410)+1</x:f>
        <x:v>3</x:v>
      </x:c>
      <x:c r="Q1410" s="83" t="n">
        <x:f>MAX($G$1406:$G$1411)-G1410</x:f>
        <x:v>0</x:v>
      </x:c>
      <x:c r="R1410" s="73" t="str">
        <x:f>INDEX(TrackMap!$B$8:$B$141,H1410)</x:f>
        <x:v>发车大直道</x:v>
      </x:c>
    </x:row>
    <x:row r="1411" ht="20" customHeight="1">
      <x:c r="A1411" s="73" t="n">
        <x:v>233</x:v>
      </x:c>
      <x:c r="B1411" s="73" t="n">
        <x:v>6</x:v>
      </x:c>
      <x:c r="C1411" s="73" t="str">
        <x:f>INDEX(Drivers!$B$8:$B$13,B1411)</x:f>
        <x:v>玫速</x:v>
      </x:c>
      <x:c r="D1411" s="83" t="n">
        <x:f>G1405</x:f>
        <x:v>670</x:v>
      </x:c>
      <x:c r="E1411" s="83" t="str">
        <x:f>IF(A1411=0,"GRID",IF(D1411&gt;=Control!$B$17,"FINISHED",IF(AND(A1411&gt;=INDEX(Drivers!$G$8:$G$13,B1411),A1411&lt;INDEX(Drivers!$G$8:$G$13,B1411)+INDEX(Drivers!$J$8:$J$13,B1411)),"PIT",IF(MOD(A1411+INDEX(Drivers!$F$8:$F$13,B1411),Control!$B$11)&lt;Control!$B$13,"BOOST","RACE"))))</x:f>
        <x:v>FINISHED</x:v>
      </x:c>
      <x:c r="F1411" s="83" t="n">
        <x:f>IF(OR(E1411="GRID",E1411="FINISHED",E1411="PIT"),0,MAX(Control!$B$15,(INDEX(Drivers!$D$8:$D$13,B1411)+INDEX(Drivers!$E$8:$E$13,B1411)*SIN((A1411+INDEX(Drivers!$F$8:$F$13,B1411)+Control!$B$16)*Control!$B$14))*INDEX(TrackMap!$M$8:$M$141,MOD(INT(D1411)-1,Control!$B$7)+1)*IF(E1411="BOOST",Control!$B$12,1)))</x:f>
        <x:v>0</x:v>
      </x:c>
      <x:c r="G1411" s="83" t="n">
        <x:f>IF(A1411=0,D1411,MIN(Control!$B$17,D1411+F1411))</x:f>
        <x:v>670</x:v>
      </x:c>
      <x:c r="H1411" s="73" t="n">
        <x:f>MOD(INT(G1411)-1,Control!$B$7)+1</x:f>
        <x:v>134</x:v>
      </x:c>
      <x:c r="I1411" s="73" t="n">
        <x:f>MIN(Control!$B$6,MAX(1,INT(MAX(0,G1411)/Control!$B$7)+1))</x:f>
        <x:v>5</x:v>
      </x:c>
      <x:c r="J1411" s="73" t="n">
        <x:f>INDEX(Drivers!$H$8:$H$13,B1411)</x:f>
        <x:v>2</x:v>
      </x:c>
      <x:c r="K1411" s="73" t="n">
        <x:f>IF(J1411=1,INDEX(TrackMap!$I$8:$I$141,H1411),INDEX(TrackMap!$L$8:$L$141,H1411))</x:f>
        <x:v>3017</x:v>
      </x:c>
      <x:c r="L1411" s="73" t="str">
        <x:f>INDEX(TrackMap!$F$8:$F$141,H1411)</x:f>
        <x:v>←</x:v>
      </x:c>
      <x:c r="M1411" s="87" t="n">
        <x:f>MAX(0,G1411/Control!$B$17)</x:f>
        <x:v>1</x:v>
      </x:c>
      <x:c r="N1411" s="73" t="n">
        <x:f>IF(N1405&gt;0,N1405,IF(G1411&gt;=Control!$B$17,A1411,0))</x:f>
        <x:v>196</x:v>
      </x:c>
      <x:c r="O1411" s="91" t="n">
        <x:f>IF(N1411&gt;0,Control!$B$17+Control!$B$8+1-N1411,G1411)-B1411/100000</x:f>
        <x:v>714.99994</x:v>
      </x:c>
      <x:c r="P1411" s="73" t="n">
        <x:f>COUNTIF($O$1406:$O$1411,"&gt;"&amp;O1411)+1</x:f>
        <x:v>4</x:v>
      </x:c>
      <x:c r="Q1411" s="83" t="n">
        <x:f>MAX($G$1406:$G$1411)-G1411</x:f>
        <x:v>0</x:v>
      </x:c>
      <x:c r="R1411" s="73" t="str">
        <x:f>INDEX(TrackMap!$B$8:$B$141,H1411)</x:f>
        <x:v>发车大直道</x:v>
      </x:c>
    </x:row>
    <x:row r="1412" ht="20" customHeight="1">
      <x:c r="A1412" s="73" t="n">
        <x:v>234</x:v>
      </x:c>
      <x:c r="B1412" s="73" t="n">
        <x:v>1</x:v>
      </x:c>
      <x:c r="C1412" s="73" t="str">
        <x:f>INDEX(Drivers!$B$8:$B$13,B1412)</x:f>
        <x:v>赤焰</x:v>
      </x:c>
      <x:c r="D1412" s="83" t="n">
        <x:f>G1406</x:f>
        <x:v>670</x:v>
      </x:c>
      <x:c r="E1412" s="83" t="str">
        <x:f>IF(A1412=0,"GRID",IF(D1412&gt;=Control!$B$17,"FINISHED",IF(AND(A1412&gt;=INDEX(Drivers!$G$8:$G$13,B1412),A1412&lt;INDEX(Drivers!$G$8:$G$13,B1412)+INDEX(Drivers!$J$8:$J$13,B1412)),"PIT",IF(MOD(A1412+INDEX(Drivers!$F$8:$F$13,B1412),Control!$B$11)&lt;Control!$B$13,"BOOST","RACE"))))</x:f>
        <x:v>FINISHED</x:v>
      </x:c>
      <x:c r="F1412" s="83" t="n">
        <x:f>IF(OR(E1412="GRID",E1412="FINISHED",E1412="PIT"),0,MAX(Control!$B$15,(INDEX(Drivers!$D$8:$D$13,B1412)+INDEX(Drivers!$E$8:$E$13,B1412)*SIN((A1412+INDEX(Drivers!$F$8:$F$13,B1412)+Control!$B$16)*Control!$B$14))*INDEX(TrackMap!$M$8:$M$141,MOD(INT(D1412)-1,Control!$B$7)+1)*IF(E1412="BOOST",Control!$B$12,1)))</x:f>
        <x:v>0</x:v>
      </x:c>
      <x:c r="G1412" s="83" t="n">
        <x:f>IF(A1412=0,D1412,MIN(Control!$B$17,D1412+F1412))</x:f>
        <x:v>670</x:v>
      </x:c>
      <x:c r="H1412" s="73" t="n">
        <x:f>MOD(INT(G1412)-1,Control!$B$7)+1</x:f>
        <x:v>134</x:v>
      </x:c>
      <x:c r="I1412" s="73" t="n">
        <x:f>MIN(Control!$B$6,MAX(1,INT(MAX(0,G1412)/Control!$B$7)+1))</x:f>
        <x:v>5</x:v>
      </x:c>
      <x:c r="J1412" s="73" t="n">
        <x:f>INDEX(Drivers!$H$8:$H$13,B1412)</x:f>
        <x:v>1</x:v>
      </x:c>
      <x:c r="K1412" s="73" t="n">
        <x:f>IF(J1412=1,INDEX(TrackMap!$I$8:$I$141,H1412),INDEX(TrackMap!$L$8:$L$141,H1412))</x:f>
        <x:v>3117</x:v>
      </x:c>
      <x:c r="L1412" s="73" t="str">
        <x:f>INDEX(TrackMap!$F$8:$F$141,H1412)</x:f>
        <x:v>←</x:v>
      </x:c>
      <x:c r="M1412" s="87" t="n">
        <x:f>MAX(0,G1412/Control!$B$17)</x:f>
        <x:v>1</x:v>
      </x:c>
      <x:c r="N1412" s="73" t="n">
        <x:f>IF(N1406&gt;0,N1406,IF(G1412&gt;=Control!$B$17,A1412,0))</x:f>
        <x:v>194</x:v>
      </x:c>
      <x:c r="O1412" s="91" t="n">
        <x:f>IF(N1412&gt;0,Control!$B$17+Control!$B$8+1-N1412,G1412)-B1412/100000</x:f>
        <x:v>716.99999</x:v>
      </x:c>
      <x:c r="P1412" s="73" t="n">
        <x:f>COUNTIF($O$1412:$O$1417,"&gt;"&amp;O1412)+1</x:f>
        <x:v>1</x:v>
      </x:c>
      <x:c r="Q1412" s="83" t="n">
        <x:f>MAX($G$1412:$G$1417)-G1412</x:f>
        <x:v>0</x:v>
      </x:c>
      <x:c r="R1412" s="73" t="str">
        <x:f>INDEX(TrackMap!$B$8:$B$141,H1412)</x:f>
        <x:v>发车大直道</x:v>
      </x:c>
    </x:row>
    <x:row r="1413" ht="20" customHeight="1">
      <x:c r="A1413" s="73" t="n">
        <x:v>234</x:v>
      </x:c>
      <x:c r="B1413" s="73" t="n">
        <x:v>2</x:v>
      </x:c>
      <x:c r="C1413" s="73" t="str">
        <x:f>INDEX(Drivers!$B$8:$B$13,B1413)</x:f>
        <x:v>蓝电</x:v>
      </x:c>
      <x:c r="D1413" s="83" t="n">
        <x:f>G1407</x:f>
        <x:v>670</x:v>
      </x:c>
      <x:c r="E1413" s="83" t="str">
        <x:f>IF(A1413=0,"GRID",IF(D1413&gt;=Control!$B$17,"FINISHED",IF(AND(A1413&gt;=INDEX(Drivers!$G$8:$G$13,B1413),A1413&lt;INDEX(Drivers!$G$8:$G$13,B1413)+INDEX(Drivers!$J$8:$J$13,B1413)),"PIT",IF(MOD(A1413+INDEX(Drivers!$F$8:$F$13,B1413),Control!$B$11)&lt;Control!$B$13,"BOOST","RACE"))))</x:f>
        <x:v>FINISHED</x:v>
      </x:c>
      <x:c r="F1413" s="83" t="n">
        <x:f>IF(OR(E1413="GRID",E1413="FINISHED",E1413="PIT"),0,MAX(Control!$B$15,(INDEX(Drivers!$D$8:$D$13,B1413)+INDEX(Drivers!$E$8:$E$13,B1413)*SIN((A1413+INDEX(Drivers!$F$8:$F$13,B1413)+Control!$B$16)*Control!$B$14))*INDEX(TrackMap!$M$8:$M$141,MOD(INT(D1413)-1,Control!$B$7)+1)*IF(E1413="BOOST",Control!$B$12,1)))</x:f>
        <x:v>0</x:v>
      </x:c>
      <x:c r="G1413" s="83" t="n">
        <x:f>IF(A1413=0,D1413,MIN(Control!$B$17,D1413+F1413))</x:f>
        <x:v>670</x:v>
      </x:c>
      <x:c r="H1413" s="73" t="n">
        <x:f>MOD(INT(G1413)-1,Control!$B$7)+1</x:f>
        <x:v>134</x:v>
      </x:c>
      <x:c r="I1413" s="73" t="n">
        <x:f>MIN(Control!$B$6,MAX(1,INT(MAX(0,G1413)/Control!$B$7)+1))</x:f>
        <x:v>5</x:v>
      </x:c>
      <x:c r="J1413" s="73" t="n">
        <x:f>INDEX(Drivers!$H$8:$H$13,B1413)</x:f>
        <x:v>2</x:v>
      </x:c>
      <x:c r="K1413" s="73" t="n">
        <x:f>IF(J1413=1,INDEX(TrackMap!$I$8:$I$141,H1413),INDEX(TrackMap!$L$8:$L$141,H1413))</x:f>
        <x:v>3017</x:v>
      </x:c>
      <x:c r="L1413" s="73" t="str">
        <x:f>INDEX(TrackMap!$F$8:$F$141,H1413)</x:f>
        <x:v>←</x:v>
      </x:c>
      <x:c r="M1413" s="87" t="n">
        <x:f>MAX(0,G1413/Control!$B$17)</x:f>
        <x:v>1</x:v>
      </x:c>
      <x:c r="N1413" s="73" t="n">
        <x:f>IF(N1407&gt;0,N1407,IF(G1413&gt;=Control!$B$17,A1413,0))</x:f>
        <x:v>201</x:v>
      </x:c>
      <x:c r="O1413" s="91" t="n">
        <x:f>IF(N1413&gt;0,Control!$B$17+Control!$B$8+1-N1413,G1413)-B1413/100000</x:f>
        <x:v>709.99998</x:v>
      </x:c>
      <x:c r="P1413" s="73" t="n">
        <x:f>COUNTIF($O$1412:$O$1417,"&gt;"&amp;O1413)+1</x:f>
        <x:v>6</x:v>
      </x:c>
      <x:c r="Q1413" s="83" t="n">
        <x:f>MAX($G$1412:$G$1417)-G1413</x:f>
        <x:v>0</x:v>
      </x:c>
      <x:c r="R1413" s="73" t="str">
        <x:f>INDEX(TrackMap!$B$8:$B$141,H1413)</x:f>
        <x:v>发车大直道</x:v>
      </x:c>
    </x:row>
    <x:row r="1414" ht="20" customHeight="1">
      <x:c r="A1414" s="73" t="n">
        <x:v>234</x:v>
      </x:c>
      <x:c r="B1414" s="73" t="n">
        <x:v>3</x:v>
      </x:c>
      <x:c r="C1414" s="73" t="str">
        <x:f>INDEX(Drivers!$B$8:$B$13,B1414)</x:f>
        <x:v>金翼</x:v>
      </x:c>
      <x:c r="D1414" s="83" t="n">
        <x:f>G1408</x:f>
        <x:v>670</x:v>
      </x:c>
      <x:c r="E1414" s="83" t="str">
        <x:f>IF(A1414=0,"GRID",IF(D1414&gt;=Control!$B$17,"FINISHED",IF(AND(A1414&gt;=INDEX(Drivers!$G$8:$G$13,B1414),A1414&lt;INDEX(Drivers!$G$8:$G$13,B1414)+INDEX(Drivers!$J$8:$J$13,B1414)),"PIT",IF(MOD(A1414+INDEX(Drivers!$F$8:$F$13,B1414),Control!$B$11)&lt;Control!$B$13,"BOOST","RACE"))))</x:f>
        <x:v>FINISHED</x:v>
      </x:c>
      <x:c r="F1414" s="83" t="n">
        <x:f>IF(OR(E1414="GRID",E1414="FINISHED",E1414="PIT"),0,MAX(Control!$B$15,(INDEX(Drivers!$D$8:$D$13,B1414)+INDEX(Drivers!$E$8:$E$13,B1414)*SIN((A1414+INDEX(Drivers!$F$8:$F$13,B1414)+Control!$B$16)*Control!$B$14))*INDEX(TrackMap!$M$8:$M$141,MOD(INT(D1414)-1,Control!$B$7)+1)*IF(E1414="BOOST",Control!$B$12,1)))</x:f>
        <x:v>0</x:v>
      </x:c>
      <x:c r="G1414" s="83" t="n">
        <x:f>IF(A1414=0,D1414,MIN(Control!$B$17,D1414+F1414))</x:f>
        <x:v>670</x:v>
      </x:c>
      <x:c r="H1414" s="73" t="n">
        <x:f>MOD(INT(G1414)-1,Control!$B$7)+1</x:f>
        <x:v>134</x:v>
      </x:c>
      <x:c r="I1414" s="73" t="n">
        <x:f>MIN(Control!$B$6,MAX(1,INT(MAX(0,G1414)/Control!$B$7)+1))</x:f>
        <x:v>5</x:v>
      </x:c>
      <x:c r="J1414" s="73" t="n">
        <x:f>INDEX(Drivers!$H$8:$H$13,B1414)</x:f>
        <x:v>1</x:v>
      </x:c>
      <x:c r="K1414" s="73" t="n">
        <x:f>IF(J1414=1,INDEX(TrackMap!$I$8:$I$141,H1414),INDEX(TrackMap!$L$8:$L$141,H1414))</x:f>
        <x:v>3117</x:v>
      </x:c>
      <x:c r="L1414" s="73" t="str">
        <x:f>INDEX(TrackMap!$F$8:$F$141,H1414)</x:f>
        <x:v>←</x:v>
      </x:c>
      <x:c r="M1414" s="87" t="n">
        <x:f>MAX(0,G1414/Control!$B$17)</x:f>
        <x:v>1</x:v>
      </x:c>
      <x:c r="N1414" s="73" t="n">
        <x:f>IF(N1408&gt;0,N1408,IF(G1414&gt;=Control!$B$17,A1414,0))</x:f>
        <x:v>195</x:v>
      </x:c>
      <x:c r="O1414" s="91" t="n">
        <x:f>IF(N1414&gt;0,Control!$B$17+Control!$B$8+1-N1414,G1414)-B1414/100000</x:f>
        <x:v>715.99997</x:v>
      </x:c>
      <x:c r="P1414" s="73" t="n">
        <x:f>COUNTIF($O$1412:$O$1417,"&gt;"&amp;O1414)+1</x:f>
        <x:v>2</x:v>
      </x:c>
      <x:c r="Q1414" s="83" t="n">
        <x:f>MAX($G$1412:$G$1417)-G1414</x:f>
        <x:v>0</x:v>
      </x:c>
      <x:c r="R1414" s="73" t="str">
        <x:f>INDEX(TrackMap!$B$8:$B$141,H1414)</x:f>
        <x:v>发车大直道</x:v>
      </x:c>
    </x:row>
    <x:row r="1415" ht="20" customHeight="1">
      <x:c r="A1415" s="73" t="n">
        <x:v>234</x:v>
      </x:c>
      <x:c r="B1415" s="73" t="n">
        <x:v>4</x:v>
      </x:c>
      <x:c r="C1415" s="73" t="str">
        <x:f>INDEX(Drivers!$B$8:$B$13,B1415)</x:f>
        <x:v>紫影</x:v>
      </x:c>
      <x:c r="D1415" s="83" t="n">
        <x:f>G1409</x:f>
        <x:v>670</x:v>
      </x:c>
      <x:c r="E1415" s="83" t="str">
        <x:f>IF(A1415=0,"GRID",IF(D1415&gt;=Control!$B$17,"FINISHED",IF(AND(A1415&gt;=INDEX(Drivers!$G$8:$G$13,B1415),A1415&lt;INDEX(Drivers!$G$8:$G$13,B1415)+INDEX(Drivers!$J$8:$J$13,B1415)),"PIT",IF(MOD(A1415+INDEX(Drivers!$F$8:$F$13,B1415),Control!$B$11)&lt;Control!$B$13,"BOOST","RACE"))))</x:f>
        <x:v>FINISHED</x:v>
      </x:c>
      <x:c r="F1415" s="83" t="n">
        <x:f>IF(OR(E1415="GRID",E1415="FINISHED",E1415="PIT"),0,MAX(Control!$B$15,(INDEX(Drivers!$D$8:$D$13,B1415)+INDEX(Drivers!$E$8:$E$13,B1415)*SIN((A1415+INDEX(Drivers!$F$8:$F$13,B1415)+Control!$B$16)*Control!$B$14))*INDEX(TrackMap!$M$8:$M$141,MOD(INT(D1415)-1,Control!$B$7)+1)*IF(E1415="BOOST",Control!$B$12,1)))</x:f>
        <x:v>0</x:v>
      </x:c>
      <x:c r="G1415" s="83" t="n">
        <x:f>IF(A1415=0,D1415,MIN(Control!$B$17,D1415+F1415))</x:f>
        <x:v>670</x:v>
      </x:c>
      <x:c r="H1415" s="73" t="n">
        <x:f>MOD(INT(G1415)-1,Control!$B$7)+1</x:f>
        <x:v>134</x:v>
      </x:c>
      <x:c r="I1415" s="73" t="n">
        <x:f>MIN(Control!$B$6,MAX(1,INT(MAX(0,G1415)/Control!$B$7)+1))</x:f>
        <x:v>5</x:v>
      </x:c>
      <x:c r="J1415" s="73" t="n">
        <x:f>INDEX(Drivers!$H$8:$H$13,B1415)</x:f>
        <x:v>2</x:v>
      </x:c>
      <x:c r="K1415" s="73" t="n">
        <x:f>IF(J1415=1,INDEX(TrackMap!$I$8:$I$141,H1415),INDEX(TrackMap!$L$8:$L$141,H1415))</x:f>
        <x:v>3017</x:v>
      </x:c>
      <x:c r="L1415" s="73" t="str">
        <x:f>INDEX(TrackMap!$F$8:$F$141,H1415)</x:f>
        <x:v>←</x:v>
      </x:c>
      <x:c r="M1415" s="87" t="n">
        <x:f>MAX(0,G1415/Control!$B$17)</x:f>
        <x:v>1</x:v>
      </x:c>
      <x:c r="N1415" s="73" t="n">
        <x:f>IF(N1409&gt;0,N1409,IF(G1415&gt;=Control!$B$17,A1415,0))</x:f>
        <x:v>198</x:v>
      </x:c>
      <x:c r="O1415" s="91" t="n">
        <x:f>IF(N1415&gt;0,Control!$B$17+Control!$B$8+1-N1415,G1415)-B1415/100000</x:f>
        <x:v>712.99996</x:v>
      </x:c>
      <x:c r="P1415" s="73" t="n">
        <x:f>COUNTIF($O$1412:$O$1417,"&gt;"&amp;O1415)+1</x:f>
        <x:v>5</x:v>
      </x:c>
      <x:c r="Q1415" s="83" t="n">
        <x:f>MAX($G$1412:$G$1417)-G1415</x:f>
        <x:v>0</x:v>
      </x:c>
      <x:c r="R1415" s="73" t="str">
        <x:f>INDEX(TrackMap!$B$8:$B$141,H1415)</x:f>
        <x:v>发车大直道</x:v>
      </x:c>
    </x:row>
    <x:row r="1416" ht="20" customHeight="1">
      <x:c r="A1416" s="73" t="n">
        <x:v>234</x:v>
      </x:c>
      <x:c r="B1416" s="73" t="n">
        <x:v>5</x:v>
      </x:c>
      <x:c r="C1416" s="73" t="str">
        <x:f>INDEX(Drivers!$B$8:$B$13,B1416)</x:f>
        <x:v>青锋</x:v>
      </x:c>
      <x:c r="D1416" s="83" t="n">
        <x:f>G1410</x:f>
        <x:v>670</x:v>
      </x:c>
      <x:c r="E1416" s="83" t="str">
        <x:f>IF(A1416=0,"GRID",IF(D1416&gt;=Control!$B$17,"FINISHED",IF(AND(A1416&gt;=INDEX(Drivers!$G$8:$G$13,B1416),A1416&lt;INDEX(Drivers!$G$8:$G$13,B1416)+INDEX(Drivers!$J$8:$J$13,B1416)),"PIT",IF(MOD(A1416+INDEX(Drivers!$F$8:$F$13,B1416),Control!$B$11)&lt;Control!$B$13,"BOOST","RACE"))))</x:f>
        <x:v>FINISHED</x:v>
      </x:c>
      <x:c r="F1416" s="83" t="n">
        <x:f>IF(OR(E1416="GRID",E1416="FINISHED",E1416="PIT"),0,MAX(Control!$B$15,(INDEX(Drivers!$D$8:$D$13,B1416)+INDEX(Drivers!$E$8:$E$13,B1416)*SIN((A1416+INDEX(Drivers!$F$8:$F$13,B1416)+Control!$B$16)*Control!$B$14))*INDEX(TrackMap!$M$8:$M$141,MOD(INT(D1416)-1,Control!$B$7)+1)*IF(E1416="BOOST",Control!$B$12,1)))</x:f>
        <x:v>0</x:v>
      </x:c>
      <x:c r="G1416" s="83" t="n">
        <x:f>IF(A1416=0,D1416,MIN(Control!$B$17,D1416+F1416))</x:f>
        <x:v>670</x:v>
      </x:c>
      <x:c r="H1416" s="73" t="n">
        <x:f>MOD(INT(G1416)-1,Control!$B$7)+1</x:f>
        <x:v>134</x:v>
      </x:c>
      <x:c r="I1416" s="73" t="n">
        <x:f>MIN(Control!$B$6,MAX(1,INT(MAX(0,G1416)/Control!$B$7)+1))</x:f>
        <x:v>5</x:v>
      </x:c>
      <x:c r="J1416" s="73" t="n">
        <x:f>INDEX(Drivers!$H$8:$H$13,B1416)</x:f>
        <x:v>1</x:v>
      </x:c>
      <x:c r="K1416" s="73" t="n">
        <x:f>IF(J1416=1,INDEX(TrackMap!$I$8:$I$141,H1416),INDEX(TrackMap!$L$8:$L$141,H1416))</x:f>
        <x:v>3117</x:v>
      </x:c>
      <x:c r="L1416" s="73" t="str">
        <x:f>INDEX(TrackMap!$F$8:$F$141,H1416)</x:f>
        <x:v>←</x:v>
      </x:c>
      <x:c r="M1416" s="87" t="n">
        <x:f>MAX(0,G1416/Control!$B$17)</x:f>
        <x:v>1</x:v>
      </x:c>
      <x:c r="N1416" s="73" t="n">
        <x:f>IF(N1410&gt;0,N1410,IF(G1416&gt;=Control!$B$17,A1416,0))</x:f>
        <x:v>195</x:v>
      </x:c>
      <x:c r="O1416" s="91" t="n">
        <x:f>IF(N1416&gt;0,Control!$B$17+Control!$B$8+1-N1416,G1416)-B1416/100000</x:f>
        <x:v>715.99995</x:v>
      </x:c>
      <x:c r="P1416" s="73" t="n">
        <x:f>COUNTIF($O$1412:$O$1417,"&gt;"&amp;O1416)+1</x:f>
        <x:v>3</x:v>
      </x:c>
      <x:c r="Q1416" s="83" t="n">
        <x:f>MAX($G$1412:$G$1417)-G1416</x:f>
        <x:v>0</x:v>
      </x:c>
      <x:c r="R1416" s="73" t="str">
        <x:f>INDEX(TrackMap!$B$8:$B$141,H1416)</x:f>
        <x:v>发车大直道</x:v>
      </x:c>
    </x:row>
    <x:row r="1417" ht="20" customHeight="1">
      <x:c r="A1417" s="73" t="n">
        <x:v>234</x:v>
      </x:c>
      <x:c r="B1417" s="73" t="n">
        <x:v>6</x:v>
      </x:c>
      <x:c r="C1417" s="73" t="str">
        <x:f>INDEX(Drivers!$B$8:$B$13,B1417)</x:f>
        <x:v>玫速</x:v>
      </x:c>
      <x:c r="D1417" s="83" t="n">
        <x:f>G1411</x:f>
        <x:v>670</x:v>
      </x:c>
      <x:c r="E1417" s="83" t="str">
        <x:f>IF(A1417=0,"GRID",IF(D1417&gt;=Control!$B$17,"FINISHED",IF(AND(A1417&gt;=INDEX(Drivers!$G$8:$G$13,B1417),A1417&lt;INDEX(Drivers!$G$8:$G$13,B1417)+INDEX(Drivers!$J$8:$J$13,B1417)),"PIT",IF(MOD(A1417+INDEX(Drivers!$F$8:$F$13,B1417),Control!$B$11)&lt;Control!$B$13,"BOOST","RACE"))))</x:f>
        <x:v>FINISHED</x:v>
      </x:c>
      <x:c r="F1417" s="83" t="n">
        <x:f>IF(OR(E1417="GRID",E1417="FINISHED",E1417="PIT"),0,MAX(Control!$B$15,(INDEX(Drivers!$D$8:$D$13,B1417)+INDEX(Drivers!$E$8:$E$13,B1417)*SIN((A1417+INDEX(Drivers!$F$8:$F$13,B1417)+Control!$B$16)*Control!$B$14))*INDEX(TrackMap!$M$8:$M$141,MOD(INT(D1417)-1,Control!$B$7)+1)*IF(E1417="BOOST",Control!$B$12,1)))</x:f>
        <x:v>0</x:v>
      </x:c>
      <x:c r="G1417" s="83" t="n">
        <x:f>IF(A1417=0,D1417,MIN(Control!$B$17,D1417+F1417))</x:f>
        <x:v>670</x:v>
      </x:c>
      <x:c r="H1417" s="73" t="n">
        <x:f>MOD(INT(G1417)-1,Control!$B$7)+1</x:f>
        <x:v>134</x:v>
      </x:c>
      <x:c r="I1417" s="73" t="n">
        <x:f>MIN(Control!$B$6,MAX(1,INT(MAX(0,G1417)/Control!$B$7)+1))</x:f>
        <x:v>5</x:v>
      </x:c>
      <x:c r="J1417" s="73" t="n">
        <x:f>INDEX(Drivers!$H$8:$H$13,B1417)</x:f>
        <x:v>2</x:v>
      </x:c>
      <x:c r="K1417" s="73" t="n">
        <x:f>IF(J1417=1,INDEX(TrackMap!$I$8:$I$141,H1417),INDEX(TrackMap!$L$8:$L$141,H1417))</x:f>
        <x:v>3017</x:v>
      </x:c>
      <x:c r="L1417" s="73" t="str">
        <x:f>INDEX(TrackMap!$F$8:$F$141,H1417)</x:f>
        <x:v>←</x:v>
      </x:c>
      <x:c r="M1417" s="87" t="n">
        <x:f>MAX(0,G1417/Control!$B$17)</x:f>
        <x:v>1</x:v>
      </x:c>
      <x:c r="N1417" s="73" t="n">
        <x:f>IF(N1411&gt;0,N1411,IF(G1417&gt;=Control!$B$17,A1417,0))</x:f>
        <x:v>196</x:v>
      </x:c>
      <x:c r="O1417" s="91" t="n">
        <x:f>IF(N1417&gt;0,Control!$B$17+Control!$B$8+1-N1417,G1417)-B1417/100000</x:f>
        <x:v>714.99994</x:v>
      </x:c>
      <x:c r="P1417" s="73" t="n">
        <x:f>COUNTIF($O$1412:$O$1417,"&gt;"&amp;O1417)+1</x:f>
        <x:v>4</x:v>
      </x:c>
      <x:c r="Q1417" s="83" t="n">
        <x:f>MAX($G$1412:$G$1417)-G1417</x:f>
        <x:v>0</x:v>
      </x:c>
      <x:c r="R1417" s="73" t="str">
        <x:f>INDEX(TrackMap!$B$8:$B$141,H1417)</x:f>
        <x:v>发车大直道</x:v>
      </x:c>
    </x:row>
    <x:row r="1418" ht="20" customHeight="1">
      <x:c r="A1418" s="73" t="n">
        <x:v>235</x:v>
      </x:c>
      <x:c r="B1418" s="73" t="n">
        <x:v>1</x:v>
      </x:c>
      <x:c r="C1418" s="73" t="str">
        <x:f>INDEX(Drivers!$B$8:$B$13,B1418)</x:f>
        <x:v>赤焰</x:v>
      </x:c>
      <x:c r="D1418" s="83" t="n">
        <x:f>G1412</x:f>
        <x:v>670</x:v>
      </x:c>
      <x:c r="E1418" s="83" t="str">
        <x:f>IF(A1418=0,"GRID",IF(D1418&gt;=Control!$B$17,"FINISHED",IF(AND(A1418&gt;=INDEX(Drivers!$G$8:$G$13,B1418),A1418&lt;INDEX(Drivers!$G$8:$G$13,B1418)+INDEX(Drivers!$J$8:$J$13,B1418)),"PIT",IF(MOD(A1418+INDEX(Drivers!$F$8:$F$13,B1418),Control!$B$11)&lt;Control!$B$13,"BOOST","RACE"))))</x:f>
        <x:v>FINISHED</x:v>
      </x:c>
      <x:c r="F1418" s="83" t="n">
        <x:f>IF(OR(E1418="GRID",E1418="FINISHED",E1418="PIT"),0,MAX(Control!$B$15,(INDEX(Drivers!$D$8:$D$13,B1418)+INDEX(Drivers!$E$8:$E$13,B1418)*SIN((A1418+INDEX(Drivers!$F$8:$F$13,B1418)+Control!$B$16)*Control!$B$14))*INDEX(TrackMap!$M$8:$M$141,MOD(INT(D1418)-1,Control!$B$7)+1)*IF(E1418="BOOST",Control!$B$12,1)))</x:f>
        <x:v>0</x:v>
      </x:c>
      <x:c r="G1418" s="83" t="n">
        <x:f>IF(A1418=0,D1418,MIN(Control!$B$17,D1418+F1418))</x:f>
        <x:v>670</x:v>
      </x:c>
      <x:c r="H1418" s="73" t="n">
        <x:f>MOD(INT(G1418)-1,Control!$B$7)+1</x:f>
        <x:v>134</x:v>
      </x:c>
      <x:c r="I1418" s="73" t="n">
        <x:f>MIN(Control!$B$6,MAX(1,INT(MAX(0,G1418)/Control!$B$7)+1))</x:f>
        <x:v>5</x:v>
      </x:c>
      <x:c r="J1418" s="73" t="n">
        <x:f>INDEX(Drivers!$H$8:$H$13,B1418)</x:f>
        <x:v>1</x:v>
      </x:c>
      <x:c r="K1418" s="73" t="n">
        <x:f>IF(J1418=1,INDEX(TrackMap!$I$8:$I$141,H1418),INDEX(TrackMap!$L$8:$L$141,H1418))</x:f>
        <x:v>3117</x:v>
      </x:c>
      <x:c r="L1418" s="73" t="str">
        <x:f>INDEX(TrackMap!$F$8:$F$141,H1418)</x:f>
        <x:v>←</x:v>
      </x:c>
      <x:c r="M1418" s="87" t="n">
        <x:f>MAX(0,G1418/Control!$B$17)</x:f>
        <x:v>1</x:v>
      </x:c>
      <x:c r="N1418" s="73" t="n">
        <x:f>IF(N1412&gt;0,N1412,IF(G1418&gt;=Control!$B$17,A1418,0))</x:f>
        <x:v>194</x:v>
      </x:c>
      <x:c r="O1418" s="91" t="n">
        <x:f>IF(N1418&gt;0,Control!$B$17+Control!$B$8+1-N1418,G1418)-B1418/100000</x:f>
        <x:v>716.99999</x:v>
      </x:c>
      <x:c r="P1418" s="73" t="n">
        <x:f>COUNTIF($O$1418:$O$1423,"&gt;"&amp;O1418)+1</x:f>
        <x:v>1</x:v>
      </x:c>
      <x:c r="Q1418" s="83" t="n">
        <x:f>MAX($G$1418:$G$1423)-G1418</x:f>
        <x:v>0</x:v>
      </x:c>
      <x:c r="R1418" s="73" t="str">
        <x:f>INDEX(TrackMap!$B$8:$B$141,H1418)</x:f>
        <x:v>发车大直道</x:v>
      </x:c>
    </x:row>
    <x:row r="1419" ht="20" customHeight="1">
      <x:c r="A1419" s="73" t="n">
        <x:v>235</x:v>
      </x:c>
      <x:c r="B1419" s="73" t="n">
        <x:v>2</x:v>
      </x:c>
      <x:c r="C1419" s="73" t="str">
        <x:f>INDEX(Drivers!$B$8:$B$13,B1419)</x:f>
        <x:v>蓝电</x:v>
      </x:c>
      <x:c r="D1419" s="83" t="n">
        <x:f>G1413</x:f>
        <x:v>670</x:v>
      </x:c>
      <x:c r="E1419" s="83" t="str">
        <x:f>IF(A1419=0,"GRID",IF(D1419&gt;=Control!$B$17,"FINISHED",IF(AND(A1419&gt;=INDEX(Drivers!$G$8:$G$13,B1419),A1419&lt;INDEX(Drivers!$G$8:$G$13,B1419)+INDEX(Drivers!$J$8:$J$13,B1419)),"PIT",IF(MOD(A1419+INDEX(Drivers!$F$8:$F$13,B1419),Control!$B$11)&lt;Control!$B$13,"BOOST","RACE"))))</x:f>
        <x:v>FINISHED</x:v>
      </x:c>
      <x:c r="F1419" s="83" t="n">
        <x:f>IF(OR(E1419="GRID",E1419="FINISHED",E1419="PIT"),0,MAX(Control!$B$15,(INDEX(Drivers!$D$8:$D$13,B1419)+INDEX(Drivers!$E$8:$E$13,B1419)*SIN((A1419+INDEX(Drivers!$F$8:$F$13,B1419)+Control!$B$16)*Control!$B$14))*INDEX(TrackMap!$M$8:$M$141,MOD(INT(D1419)-1,Control!$B$7)+1)*IF(E1419="BOOST",Control!$B$12,1)))</x:f>
        <x:v>0</x:v>
      </x:c>
      <x:c r="G1419" s="83" t="n">
        <x:f>IF(A1419=0,D1419,MIN(Control!$B$17,D1419+F1419))</x:f>
        <x:v>670</x:v>
      </x:c>
      <x:c r="H1419" s="73" t="n">
        <x:f>MOD(INT(G1419)-1,Control!$B$7)+1</x:f>
        <x:v>134</x:v>
      </x:c>
      <x:c r="I1419" s="73" t="n">
        <x:f>MIN(Control!$B$6,MAX(1,INT(MAX(0,G1419)/Control!$B$7)+1))</x:f>
        <x:v>5</x:v>
      </x:c>
      <x:c r="J1419" s="73" t="n">
        <x:f>INDEX(Drivers!$H$8:$H$13,B1419)</x:f>
        <x:v>2</x:v>
      </x:c>
      <x:c r="K1419" s="73" t="n">
        <x:f>IF(J1419=1,INDEX(TrackMap!$I$8:$I$141,H1419),INDEX(TrackMap!$L$8:$L$141,H1419))</x:f>
        <x:v>3017</x:v>
      </x:c>
      <x:c r="L1419" s="73" t="str">
        <x:f>INDEX(TrackMap!$F$8:$F$141,H1419)</x:f>
        <x:v>←</x:v>
      </x:c>
      <x:c r="M1419" s="87" t="n">
        <x:f>MAX(0,G1419/Control!$B$17)</x:f>
        <x:v>1</x:v>
      </x:c>
      <x:c r="N1419" s="73" t="n">
        <x:f>IF(N1413&gt;0,N1413,IF(G1419&gt;=Control!$B$17,A1419,0))</x:f>
        <x:v>201</x:v>
      </x:c>
      <x:c r="O1419" s="91" t="n">
        <x:f>IF(N1419&gt;0,Control!$B$17+Control!$B$8+1-N1419,G1419)-B1419/100000</x:f>
        <x:v>709.99998</x:v>
      </x:c>
      <x:c r="P1419" s="73" t="n">
        <x:f>COUNTIF($O$1418:$O$1423,"&gt;"&amp;O1419)+1</x:f>
        <x:v>6</x:v>
      </x:c>
      <x:c r="Q1419" s="83" t="n">
        <x:f>MAX($G$1418:$G$1423)-G1419</x:f>
        <x:v>0</x:v>
      </x:c>
      <x:c r="R1419" s="73" t="str">
        <x:f>INDEX(TrackMap!$B$8:$B$141,H1419)</x:f>
        <x:v>发车大直道</x:v>
      </x:c>
    </x:row>
    <x:row r="1420" ht="20" customHeight="1">
      <x:c r="A1420" s="73" t="n">
        <x:v>235</x:v>
      </x:c>
      <x:c r="B1420" s="73" t="n">
        <x:v>3</x:v>
      </x:c>
      <x:c r="C1420" s="73" t="str">
        <x:f>INDEX(Drivers!$B$8:$B$13,B1420)</x:f>
        <x:v>金翼</x:v>
      </x:c>
      <x:c r="D1420" s="83" t="n">
        <x:f>G1414</x:f>
        <x:v>670</x:v>
      </x:c>
      <x:c r="E1420" s="83" t="str">
        <x:f>IF(A1420=0,"GRID",IF(D1420&gt;=Control!$B$17,"FINISHED",IF(AND(A1420&gt;=INDEX(Drivers!$G$8:$G$13,B1420),A1420&lt;INDEX(Drivers!$G$8:$G$13,B1420)+INDEX(Drivers!$J$8:$J$13,B1420)),"PIT",IF(MOD(A1420+INDEX(Drivers!$F$8:$F$13,B1420),Control!$B$11)&lt;Control!$B$13,"BOOST","RACE"))))</x:f>
        <x:v>FINISHED</x:v>
      </x:c>
      <x:c r="F1420" s="83" t="n">
        <x:f>IF(OR(E1420="GRID",E1420="FINISHED",E1420="PIT"),0,MAX(Control!$B$15,(INDEX(Drivers!$D$8:$D$13,B1420)+INDEX(Drivers!$E$8:$E$13,B1420)*SIN((A1420+INDEX(Drivers!$F$8:$F$13,B1420)+Control!$B$16)*Control!$B$14))*INDEX(TrackMap!$M$8:$M$141,MOD(INT(D1420)-1,Control!$B$7)+1)*IF(E1420="BOOST",Control!$B$12,1)))</x:f>
        <x:v>0</x:v>
      </x:c>
      <x:c r="G1420" s="83" t="n">
        <x:f>IF(A1420=0,D1420,MIN(Control!$B$17,D1420+F1420))</x:f>
        <x:v>670</x:v>
      </x:c>
      <x:c r="H1420" s="73" t="n">
        <x:f>MOD(INT(G1420)-1,Control!$B$7)+1</x:f>
        <x:v>134</x:v>
      </x:c>
      <x:c r="I1420" s="73" t="n">
        <x:f>MIN(Control!$B$6,MAX(1,INT(MAX(0,G1420)/Control!$B$7)+1))</x:f>
        <x:v>5</x:v>
      </x:c>
      <x:c r="J1420" s="73" t="n">
        <x:f>INDEX(Drivers!$H$8:$H$13,B1420)</x:f>
        <x:v>1</x:v>
      </x:c>
      <x:c r="K1420" s="73" t="n">
        <x:f>IF(J1420=1,INDEX(TrackMap!$I$8:$I$141,H1420),INDEX(TrackMap!$L$8:$L$141,H1420))</x:f>
        <x:v>3117</x:v>
      </x:c>
      <x:c r="L1420" s="73" t="str">
        <x:f>INDEX(TrackMap!$F$8:$F$141,H1420)</x:f>
        <x:v>←</x:v>
      </x:c>
      <x:c r="M1420" s="87" t="n">
        <x:f>MAX(0,G1420/Control!$B$17)</x:f>
        <x:v>1</x:v>
      </x:c>
      <x:c r="N1420" s="73" t="n">
        <x:f>IF(N1414&gt;0,N1414,IF(G1420&gt;=Control!$B$17,A1420,0))</x:f>
        <x:v>195</x:v>
      </x:c>
      <x:c r="O1420" s="91" t="n">
        <x:f>IF(N1420&gt;0,Control!$B$17+Control!$B$8+1-N1420,G1420)-B1420/100000</x:f>
        <x:v>715.99997</x:v>
      </x:c>
      <x:c r="P1420" s="73" t="n">
        <x:f>COUNTIF($O$1418:$O$1423,"&gt;"&amp;O1420)+1</x:f>
        <x:v>2</x:v>
      </x:c>
      <x:c r="Q1420" s="83" t="n">
        <x:f>MAX($G$1418:$G$1423)-G1420</x:f>
        <x:v>0</x:v>
      </x:c>
      <x:c r="R1420" s="73" t="str">
        <x:f>INDEX(TrackMap!$B$8:$B$141,H1420)</x:f>
        <x:v>发车大直道</x:v>
      </x:c>
    </x:row>
    <x:row r="1421" ht="20" customHeight="1">
      <x:c r="A1421" s="73" t="n">
        <x:v>235</x:v>
      </x:c>
      <x:c r="B1421" s="73" t="n">
        <x:v>4</x:v>
      </x:c>
      <x:c r="C1421" s="73" t="str">
        <x:f>INDEX(Drivers!$B$8:$B$13,B1421)</x:f>
        <x:v>紫影</x:v>
      </x:c>
      <x:c r="D1421" s="83" t="n">
        <x:f>G1415</x:f>
        <x:v>670</x:v>
      </x:c>
      <x:c r="E1421" s="83" t="str">
        <x:f>IF(A1421=0,"GRID",IF(D1421&gt;=Control!$B$17,"FINISHED",IF(AND(A1421&gt;=INDEX(Drivers!$G$8:$G$13,B1421),A1421&lt;INDEX(Drivers!$G$8:$G$13,B1421)+INDEX(Drivers!$J$8:$J$13,B1421)),"PIT",IF(MOD(A1421+INDEX(Drivers!$F$8:$F$13,B1421),Control!$B$11)&lt;Control!$B$13,"BOOST","RACE"))))</x:f>
        <x:v>FINISHED</x:v>
      </x:c>
      <x:c r="F1421" s="83" t="n">
        <x:f>IF(OR(E1421="GRID",E1421="FINISHED",E1421="PIT"),0,MAX(Control!$B$15,(INDEX(Drivers!$D$8:$D$13,B1421)+INDEX(Drivers!$E$8:$E$13,B1421)*SIN((A1421+INDEX(Drivers!$F$8:$F$13,B1421)+Control!$B$16)*Control!$B$14))*INDEX(TrackMap!$M$8:$M$141,MOD(INT(D1421)-1,Control!$B$7)+1)*IF(E1421="BOOST",Control!$B$12,1)))</x:f>
        <x:v>0</x:v>
      </x:c>
      <x:c r="G1421" s="83" t="n">
        <x:f>IF(A1421=0,D1421,MIN(Control!$B$17,D1421+F1421))</x:f>
        <x:v>670</x:v>
      </x:c>
      <x:c r="H1421" s="73" t="n">
        <x:f>MOD(INT(G1421)-1,Control!$B$7)+1</x:f>
        <x:v>134</x:v>
      </x:c>
      <x:c r="I1421" s="73" t="n">
        <x:f>MIN(Control!$B$6,MAX(1,INT(MAX(0,G1421)/Control!$B$7)+1))</x:f>
        <x:v>5</x:v>
      </x:c>
      <x:c r="J1421" s="73" t="n">
        <x:f>INDEX(Drivers!$H$8:$H$13,B1421)</x:f>
        <x:v>2</x:v>
      </x:c>
      <x:c r="K1421" s="73" t="n">
        <x:f>IF(J1421=1,INDEX(TrackMap!$I$8:$I$141,H1421),INDEX(TrackMap!$L$8:$L$141,H1421))</x:f>
        <x:v>3017</x:v>
      </x:c>
      <x:c r="L1421" s="73" t="str">
        <x:f>INDEX(TrackMap!$F$8:$F$141,H1421)</x:f>
        <x:v>←</x:v>
      </x:c>
      <x:c r="M1421" s="87" t="n">
        <x:f>MAX(0,G1421/Control!$B$17)</x:f>
        <x:v>1</x:v>
      </x:c>
      <x:c r="N1421" s="73" t="n">
        <x:f>IF(N1415&gt;0,N1415,IF(G1421&gt;=Control!$B$17,A1421,0))</x:f>
        <x:v>198</x:v>
      </x:c>
      <x:c r="O1421" s="91" t="n">
        <x:f>IF(N1421&gt;0,Control!$B$17+Control!$B$8+1-N1421,G1421)-B1421/100000</x:f>
        <x:v>712.99996</x:v>
      </x:c>
      <x:c r="P1421" s="73" t="n">
        <x:f>COUNTIF($O$1418:$O$1423,"&gt;"&amp;O1421)+1</x:f>
        <x:v>5</x:v>
      </x:c>
      <x:c r="Q1421" s="83" t="n">
        <x:f>MAX($G$1418:$G$1423)-G1421</x:f>
        <x:v>0</x:v>
      </x:c>
      <x:c r="R1421" s="73" t="str">
        <x:f>INDEX(TrackMap!$B$8:$B$141,H1421)</x:f>
        <x:v>发车大直道</x:v>
      </x:c>
    </x:row>
    <x:row r="1422" ht="20" customHeight="1">
      <x:c r="A1422" s="73" t="n">
        <x:v>235</x:v>
      </x:c>
      <x:c r="B1422" s="73" t="n">
        <x:v>5</x:v>
      </x:c>
      <x:c r="C1422" s="73" t="str">
        <x:f>INDEX(Drivers!$B$8:$B$13,B1422)</x:f>
        <x:v>青锋</x:v>
      </x:c>
      <x:c r="D1422" s="83" t="n">
        <x:f>G1416</x:f>
        <x:v>670</x:v>
      </x:c>
      <x:c r="E1422" s="83" t="str">
        <x:f>IF(A1422=0,"GRID",IF(D1422&gt;=Control!$B$17,"FINISHED",IF(AND(A1422&gt;=INDEX(Drivers!$G$8:$G$13,B1422),A1422&lt;INDEX(Drivers!$G$8:$G$13,B1422)+INDEX(Drivers!$J$8:$J$13,B1422)),"PIT",IF(MOD(A1422+INDEX(Drivers!$F$8:$F$13,B1422),Control!$B$11)&lt;Control!$B$13,"BOOST","RACE"))))</x:f>
        <x:v>FINISHED</x:v>
      </x:c>
      <x:c r="F1422" s="83" t="n">
        <x:f>IF(OR(E1422="GRID",E1422="FINISHED",E1422="PIT"),0,MAX(Control!$B$15,(INDEX(Drivers!$D$8:$D$13,B1422)+INDEX(Drivers!$E$8:$E$13,B1422)*SIN((A1422+INDEX(Drivers!$F$8:$F$13,B1422)+Control!$B$16)*Control!$B$14))*INDEX(TrackMap!$M$8:$M$141,MOD(INT(D1422)-1,Control!$B$7)+1)*IF(E1422="BOOST",Control!$B$12,1)))</x:f>
        <x:v>0</x:v>
      </x:c>
      <x:c r="G1422" s="83" t="n">
        <x:f>IF(A1422=0,D1422,MIN(Control!$B$17,D1422+F1422))</x:f>
        <x:v>670</x:v>
      </x:c>
      <x:c r="H1422" s="73" t="n">
        <x:f>MOD(INT(G1422)-1,Control!$B$7)+1</x:f>
        <x:v>134</x:v>
      </x:c>
      <x:c r="I1422" s="73" t="n">
        <x:f>MIN(Control!$B$6,MAX(1,INT(MAX(0,G1422)/Control!$B$7)+1))</x:f>
        <x:v>5</x:v>
      </x:c>
      <x:c r="J1422" s="73" t="n">
        <x:f>INDEX(Drivers!$H$8:$H$13,B1422)</x:f>
        <x:v>1</x:v>
      </x:c>
      <x:c r="K1422" s="73" t="n">
        <x:f>IF(J1422=1,INDEX(TrackMap!$I$8:$I$141,H1422),INDEX(TrackMap!$L$8:$L$141,H1422))</x:f>
        <x:v>3117</x:v>
      </x:c>
      <x:c r="L1422" s="73" t="str">
        <x:f>INDEX(TrackMap!$F$8:$F$141,H1422)</x:f>
        <x:v>←</x:v>
      </x:c>
      <x:c r="M1422" s="87" t="n">
        <x:f>MAX(0,G1422/Control!$B$17)</x:f>
        <x:v>1</x:v>
      </x:c>
      <x:c r="N1422" s="73" t="n">
        <x:f>IF(N1416&gt;0,N1416,IF(G1422&gt;=Control!$B$17,A1422,0))</x:f>
        <x:v>195</x:v>
      </x:c>
      <x:c r="O1422" s="91" t="n">
        <x:f>IF(N1422&gt;0,Control!$B$17+Control!$B$8+1-N1422,G1422)-B1422/100000</x:f>
        <x:v>715.99995</x:v>
      </x:c>
      <x:c r="P1422" s="73" t="n">
        <x:f>COUNTIF($O$1418:$O$1423,"&gt;"&amp;O1422)+1</x:f>
        <x:v>3</x:v>
      </x:c>
      <x:c r="Q1422" s="83" t="n">
        <x:f>MAX($G$1418:$G$1423)-G1422</x:f>
        <x:v>0</x:v>
      </x:c>
      <x:c r="R1422" s="73" t="str">
        <x:f>INDEX(TrackMap!$B$8:$B$141,H1422)</x:f>
        <x:v>发车大直道</x:v>
      </x:c>
    </x:row>
    <x:row r="1423" ht="20" customHeight="1">
      <x:c r="A1423" s="73" t="n">
        <x:v>235</x:v>
      </x:c>
      <x:c r="B1423" s="73" t="n">
        <x:v>6</x:v>
      </x:c>
      <x:c r="C1423" s="73" t="str">
        <x:f>INDEX(Drivers!$B$8:$B$13,B1423)</x:f>
        <x:v>玫速</x:v>
      </x:c>
      <x:c r="D1423" s="83" t="n">
        <x:f>G1417</x:f>
        <x:v>670</x:v>
      </x:c>
      <x:c r="E1423" s="83" t="str">
        <x:f>IF(A1423=0,"GRID",IF(D1423&gt;=Control!$B$17,"FINISHED",IF(AND(A1423&gt;=INDEX(Drivers!$G$8:$G$13,B1423),A1423&lt;INDEX(Drivers!$G$8:$G$13,B1423)+INDEX(Drivers!$J$8:$J$13,B1423)),"PIT",IF(MOD(A1423+INDEX(Drivers!$F$8:$F$13,B1423),Control!$B$11)&lt;Control!$B$13,"BOOST","RACE"))))</x:f>
        <x:v>FINISHED</x:v>
      </x:c>
      <x:c r="F1423" s="83" t="n">
        <x:f>IF(OR(E1423="GRID",E1423="FINISHED",E1423="PIT"),0,MAX(Control!$B$15,(INDEX(Drivers!$D$8:$D$13,B1423)+INDEX(Drivers!$E$8:$E$13,B1423)*SIN((A1423+INDEX(Drivers!$F$8:$F$13,B1423)+Control!$B$16)*Control!$B$14))*INDEX(TrackMap!$M$8:$M$141,MOD(INT(D1423)-1,Control!$B$7)+1)*IF(E1423="BOOST",Control!$B$12,1)))</x:f>
        <x:v>0</x:v>
      </x:c>
      <x:c r="G1423" s="83" t="n">
        <x:f>IF(A1423=0,D1423,MIN(Control!$B$17,D1423+F1423))</x:f>
        <x:v>670</x:v>
      </x:c>
      <x:c r="H1423" s="73" t="n">
        <x:f>MOD(INT(G1423)-1,Control!$B$7)+1</x:f>
        <x:v>134</x:v>
      </x:c>
      <x:c r="I1423" s="73" t="n">
        <x:f>MIN(Control!$B$6,MAX(1,INT(MAX(0,G1423)/Control!$B$7)+1))</x:f>
        <x:v>5</x:v>
      </x:c>
      <x:c r="J1423" s="73" t="n">
        <x:f>INDEX(Drivers!$H$8:$H$13,B1423)</x:f>
        <x:v>2</x:v>
      </x:c>
      <x:c r="K1423" s="73" t="n">
        <x:f>IF(J1423=1,INDEX(TrackMap!$I$8:$I$141,H1423),INDEX(TrackMap!$L$8:$L$141,H1423))</x:f>
        <x:v>3017</x:v>
      </x:c>
      <x:c r="L1423" s="73" t="str">
        <x:f>INDEX(TrackMap!$F$8:$F$141,H1423)</x:f>
        <x:v>←</x:v>
      </x:c>
      <x:c r="M1423" s="87" t="n">
        <x:f>MAX(0,G1423/Control!$B$17)</x:f>
        <x:v>1</x:v>
      </x:c>
      <x:c r="N1423" s="73" t="n">
        <x:f>IF(N1417&gt;0,N1417,IF(G1423&gt;=Control!$B$17,A1423,0))</x:f>
        <x:v>196</x:v>
      </x:c>
      <x:c r="O1423" s="91" t="n">
        <x:f>IF(N1423&gt;0,Control!$B$17+Control!$B$8+1-N1423,G1423)-B1423/100000</x:f>
        <x:v>714.99994</x:v>
      </x:c>
      <x:c r="P1423" s="73" t="n">
        <x:f>COUNTIF($O$1418:$O$1423,"&gt;"&amp;O1423)+1</x:f>
        <x:v>4</x:v>
      </x:c>
      <x:c r="Q1423" s="83" t="n">
        <x:f>MAX($G$1418:$G$1423)-G1423</x:f>
        <x:v>0</x:v>
      </x:c>
      <x:c r="R1423" s="73" t="str">
        <x:f>INDEX(TrackMap!$B$8:$B$141,H1423)</x:f>
        <x:v>发车大直道</x:v>
      </x:c>
    </x:row>
    <x:row r="1424" ht="20" customHeight="1">
      <x:c r="A1424" s="73" t="n">
        <x:v>236</x:v>
      </x:c>
      <x:c r="B1424" s="73" t="n">
        <x:v>1</x:v>
      </x:c>
      <x:c r="C1424" s="73" t="str">
        <x:f>INDEX(Drivers!$B$8:$B$13,B1424)</x:f>
        <x:v>赤焰</x:v>
      </x:c>
      <x:c r="D1424" s="83" t="n">
        <x:f>G1418</x:f>
        <x:v>670</x:v>
      </x:c>
      <x:c r="E1424" s="83" t="str">
        <x:f>IF(A1424=0,"GRID",IF(D1424&gt;=Control!$B$17,"FINISHED",IF(AND(A1424&gt;=INDEX(Drivers!$G$8:$G$13,B1424),A1424&lt;INDEX(Drivers!$G$8:$G$13,B1424)+INDEX(Drivers!$J$8:$J$13,B1424)),"PIT",IF(MOD(A1424+INDEX(Drivers!$F$8:$F$13,B1424),Control!$B$11)&lt;Control!$B$13,"BOOST","RACE"))))</x:f>
        <x:v>FINISHED</x:v>
      </x:c>
      <x:c r="F1424" s="83" t="n">
        <x:f>IF(OR(E1424="GRID",E1424="FINISHED",E1424="PIT"),0,MAX(Control!$B$15,(INDEX(Drivers!$D$8:$D$13,B1424)+INDEX(Drivers!$E$8:$E$13,B1424)*SIN((A1424+INDEX(Drivers!$F$8:$F$13,B1424)+Control!$B$16)*Control!$B$14))*INDEX(TrackMap!$M$8:$M$141,MOD(INT(D1424)-1,Control!$B$7)+1)*IF(E1424="BOOST",Control!$B$12,1)))</x:f>
        <x:v>0</x:v>
      </x:c>
      <x:c r="G1424" s="83" t="n">
        <x:f>IF(A1424=0,D1424,MIN(Control!$B$17,D1424+F1424))</x:f>
        <x:v>670</x:v>
      </x:c>
      <x:c r="H1424" s="73" t="n">
        <x:f>MOD(INT(G1424)-1,Control!$B$7)+1</x:f>
        <x:v>134</x:v>
      </x:c>
      <x:c r="I1424" s="73" t="n">
        <x:f>MIN(Control!$B$6,MAX(1,INT(MAX(0,G1424)/Control!$B$7)+1))</x:f>
        <x:v>5</x:v>
      </x:c>
      <x:c r="J1424" s="73" t="n">
        <x:f>INDEX(Drivers!$H$8:$H$13,B1424)</x:f>
        <x:v>1</x:v>
      </x:c>
      <x:c r="K1424" s="73" t="n">
        <x:f>IF(J1424=1,INDEX(TrackMap!$I$8:$I$141,H1424),INDEX(TrackMap!$L$8:$L$141,H1424))</x:f>
        <x:v>3117</x:v>
      </x:c>
      <x:c r="L1424" s="73" t="str">
        <x:f>INDEX(TrackMap!$F$8:$F$141,H1424)</x:f>
        <x:v>←</x:v>
      </x:c>
      <x:c r="M1424" s="87" t="n">
        <x:f>MAX(0,G1424/Control!$B$17)</x:f>
        <x:v>1</x:v>
      </x:c>
      <x:c r="N1424" s="73" t="n">
        <x:f>IF(N1418&gt;0,N1418,IF(G1424&gt;=Control!$B$17,A1424,0))</x:f>
        <x:v>194</x:v>
      </x:c>
      <x:c r="O1424" s="91" t="n">
        <x:f>IF(N1424&gt;0,Control!$B$17+Control!$B$8+1-N1424,G1424)-B1424/100000</x:f>
        <x:v>716.99999</x:v>
      </x:c>
      <x:c r="P1424" s="73" t="n">
        <x:f>COUNTIF($O$1424:$O$1429,"&gt;"&amp;O1424)+1</x:f>
        <x:v>1</x:v>
      </x:c>
      <x:c r="Q1424" s="83" t="n">
        <x:f>MAX($G$1424:$G$1429)-G1424</x:f>
        <x:v>0</x:v>
      </x:c>
      <x:c r="R1424" s="73" t="str">
        <x:f>INDEX(TrackMap!$B$8:$B$141,H1424)</x:f>
        <x:v>发车大直道</x:v>
      </x:c>
    </x:row>
    <x:row r="1425" ht="20" customHeight="1">
      <x:c r="A1425" s="73" t="n">
        <x:v>236</x:v>
      </x:c>
      <x:c r="B1425" s="73" t="n">
        <x:v>2</x:v>
      </x:c>
      <x:c r="C1425" s="73" t="str">
        <x:f>INDEX(Drivers!$B$8:$B$13,B1425)</x:f>
        <x:v>蓝电</x:v>
      </x:c>
      <x:c r="D1425" s="83" t="n">
        <x:f>G1419</x:f>
        <x:v>670</x:v>
      </x:c>
      <x:c r="E1425" s="83" t="str">
        <x:f>IF(A1425=0,"GRID",IF(D1425&gt;=Control!$B$17,"FINISHED",IF(AND(A1425&gt;=INDEX(Drivers!$G$8:$G$13,B1425),A1425&lt;INDEX(Drivers!$G$8:$G$13,B1425)+INDEX(Drivers!$J$8:$J$13,B1425)),"PIT",IF(MOD(A1425+INDEX(Drivers!$F$8:$F$13,B1425),Control!$B$11)&lt;Control!$B$13,"BOOST","RACE"))))</x:f>
        <x:v>FINISHED</x:v>
      </x:c>
      <x:c r="F1425" s="83" t="n">
        <x:f>IF(OR(E1425="GRID",E1425="FINISHED",E1425="PIT"),0,MAX(Control!$B$15,(INDEX(Drivers!$D$8:$D$13,B1425)+INDEX(Drivers!$E$8:$E$13,B1425)*SIN((A1425+INDEX(Drivers!$F$8:$F$13,B1425)+Control!$B$16)*Control!$B$14))*INDEX(TrackMap!$M$8:$M$141,MOD(INT(D1425)-1,Control!$B$7)+1)*IF(E1425="BOOST",Control!$B$12,1)))</x:f>
        <x:v>0</x:v>
      </x:c>
      <x:c r="G1425" s="83" t="n">
        <x:f>IF(A1425=0,D1425,MIN(Control!$B$17,D1425+F1425))</x:f>
        <x:v>670</x:v>
      </x:c>
      <x:c r="H1425" s="73" t="n">
        <x:f>MOD(INT(G1425)-1,Control!$B$7)+1</x:f>
        <x:v>134</x:v>
      </x:c>
      <x:c r="I1425" s="73" t="n">
        <x:f>MIN(Control!$B$6,MAX(1,INT(MAX(0,G1425)/Control!$B$7)+1))</x:f>
        <x:v>5</x:v>
      </x:c>
      <x:c r="J1425" s="73" t="n">
        <x:f>INDEX(Drivers!$H$8:$H$13,B1425)</x:f>
        <x:v>2</x:v>
      </x:c>
      <x:c r="K1425" s="73" t="n">
        <x:f>IF(J1425=1,INDEX(TrackMap!$I$8:$I$141,H1425),INDEX(TrackMap!$L$8:$L$141,H1425))</x:f>
        <x:v>3017</x:v>
      </x:c>
      <x:c r="L1425" s="73" t="str">
        <x:f>INDEX(TrackMap!$F$8:$F$141,H1425)</x:f>
        <x:v>←</x:v>
      </x:c>
      <x:c r="M1425" s="87" t="n">
        <x:f>MAX(0,G1425/Control!$B$17)</x:f>
        <x:v>1</x:v>
      </x:c>
      <x:c r="N1425" s="73" t="n">
        <x:f>IF(N1419&gt;0,N1419,IF(G1425&gt;=Control!$B$17,A1425,0))</x:f>
        <x:v>201</x:v>
      </x:c>
      <x:c r="O1425" s="91" t="n">
        <x:f>IF(N1425&gt;0,Control!$B$17+Control!$B$8+1-N1425,G1425)-B1425/100000</x:f>
        <x:v>709.99998</x:v>
      </x:c>
      <x:c r="P1425" s="73" t="n">
        <x:f>COUNTIF($O$1424:$O$1429,"&gt;"&amp;O1425)+1</x:f>
        <x:v>6</x:v>
      </x:c>
      <x:c r="Q1425" s="83" t="n">
        <x:f>MAX($G$1424:$G$1429)-G1425</x:f>
        <x:v>0</x:v>
      </x:c>
      <x:c r="R1425" s="73" t="str">
        <x:f>INDEX(TrackMap!$B$8:$B$141,H1425)</x:f>
        <x:v>发车大直道</x:v>
      </x:c>
    </x:row>
    <x:row r="1426" ht="20" customHeight="1">
      <x:c r="A1426" s="73" t="n">
        <x:v>236</x:v>
      </x:c>
      <x:c r="B1426" s="73" t="n">
        <x:v>3</x:v>
      </x:c>
      <x:c r="C1426" s="73" t="str">
        <x:f>INDEX(Drivers!$B$8:$B$13,B1426)</x:f>
        <x:v>金翼</x:v>
      </x:c>
      <x:c r="D1426" s="83" t="n">
        <x:f>G1420</x:f>
        <x:v>670</x:v>
      </x:c>
      <x:c r="E1426" s="83" t="str">
        <x:f>IF(A1426=0,"GRID",IF(D1426&gt;=Control!$B$17,"FINISHED",IF(AND(A1426&gt;=INDEX(Drivers!$G$8:$G$13,B1426),A1426&lt;INDEX(Drivers!$G$8:$G$13,B1426)+INDEX(Drivers!$J$8:$J$13,B1426)),"PIT",IF(MOD(A1426+INDEX(Drivers!$F$8:$F$13,B1426),Control!$B$11)&lt;Control!$B$13,"BOOST","RACE"))))</x:f>
        <x:v>FINISHED</x:v>
      </x:c>
      <x:c r="F1426" s="83" t="n">
        <x:f>IF(OR(E1426="GRID",E1426="FINISHED",E1426="PIT"),0,MAX(Control!$B$15,(INDEX(Drivers!$D$8:$D$13,B1426)+INDEX(Drivers!$E$8:$E$13,B1426)*SIN((A1426+INDEX(Drivers!$F$8:$F$13,B1426)+Control!$B$16)*Control!$B$14))*INDEX(TrackMap!$M$8:$M$141,MOD(INT(D1426)-1,Control!$B$7)+1)*IF(E1426="BOOST",Control!$B$12,1)))</x:f>
        <x:v>0</x:v>
      </x:c>
      <x:c r="G1426" s="83" t="n">
        <x:f>IF(A1426=0,D1426,MIN(Control!$B$17,D1426+F1426))</x:f>
        <x:v>670</x:v>
      </x:c>
      <x:c r="H1426" s="73" t="n">
        <x:f>MOD(INT(G1426)-1,Control!$B$7)+1</x:f>
        <x:v>134</x:v>
      </x:c>
      <x:c r="I1426" s="73" t="n">
        <x:f>MIN(Control!$B$6,MAX(1,INT(MAX(0,G1426)/Control!$B$7)+1))</x:f>
        <x:v>5</x:v>
      </x:c>
      <x:c r="J1426" s="73" t="n">
        <x:f>INDEX(Drivers!$H$8:$H$13,B1426)</x:f>
        <x:v>1</x:v>
      </x:c>
      <x:c r="K1426" s="73" t="n">
        <x:f>IF(J1426=1,INDEX(TrackMap!$I$8:$I$141,H1426),INDEX(TrackMap!$L$8:$L$141,H1426))</x:f>
        <x:v>3117</x:v>
      </x:c>
      <x:c r="L1426" s="73" t="str">
        <x:f>INDEX(TrackMap!$F$8:$F$141,H1426)</x:f>
        <x:v>←</x:v>
      </x:c>
      <x:c r="M1426" s="87" t="n">
        <x:f>MAX(0,G1426/Control!$B$17)</x:f>
        <x:v>1</x:v>
      </x:c>
      <x:c r="N1426" s="73" t="n">
        <x:f>IF(N1420&gt;0,N1420,IF(G1426&gt;=Control!$B$17,A1426,0))</x:f>
        <x:v>195</x:v>
      </x:c>
      <x:c r="O1426" s="91" t="n">
        <x:f>IF(N1426&gt;0,Control!$B$17+Control!$B$8+1-N1426,G1426)-B1426/100000</x:f>
        <x:v>715.99997</x:v>
      </x:c>
      <x:c r="P1426" s="73" t="n">
        <x:f>COUNTIF($O$1424:$O$1429,"&gt;"&amp;O1426)+1</x:f>
        <x:v>2</x:v>
      </x:c>
      <x:c r="Q1426" s="83" t="n">
        <x:f>MAX($G$1424:$G$1429)-G1426</x:f>
        <x:v>0</x:v>
      </x:c>
      <x:c r="R1426" s="73" t="str">
        <x:f>INDEX(TrackMap!$B$8:$B$141,H1426)</x:f>
        <x:v>发车大直道</x:v>
      </x:c>
    </x:row>
    <x:row r="1427" ht="20" customHeight="1">
      <x:c r="A1427" s="73" t="n">
        <x:v>236</x:v>
      </x:c>
      <x:c r="B1427" s="73" t="n">
        <x:v>4</x:v>
      </x:c>
      <x:c r="C1427" s="73" t="str">
        <x:f>INDEX(Drivers!$B$8:$B$13,B1427)</x:f>
        <x:v>紫影</x:v>
      </x:c>
      <x:c r="D1427" s="83" t="n">
        <x:f>G1421</x:f>
        <x:v>670</x:v>
      </x:c>
      <x:c r="E1427" s="83" t="str">
        <x:f>IF(A1427=0,"GRID",IF(D1427&gt;=Control!$B$17,"FINISHED",IF(AND(A1427&gt;=INDEX(Drivers!$G$8:$G$13,B1427),A1427&lt;INDEX(Drivers!$G$8:$G$13,B1427)+INDEX(Drivers!$J$8:$J$13,B1427)),"PIT",IF(MOD(A1427+INDEX(Drivers!$F$8:$F$13,B1427),Control!$B$11)&lt;Control!$B$13,"BOOST","RACE"))))</x:f>
        <x:v>FINISHED</x:v>
      </x:c>
      <x:c r="F1427" s="83" t="n">
        <x:f>IF(OR(E1427="GRID",E1427="FINISHED",E1427="PIT"),0,MAX(Control!$B$15,(INDEX(Drivers!$D$8:$D$13,B1427)+INDEX(Drivers!$E$8:$E$13,B1427)*SIN((A1427+INDEX(Drivers!$F$8:$F$13,B1427)+Control!$B$16)*Control!$B$14))*INDEX(TrackMap!$M$8:$M$141,MOD(INT(D1427)-1,Control!$B$7)+1)*IF(E1427="BOOST",Control!$B$12,1)))</x:f>
        <x:v>0</x:v>
      </x:c>
      <x:c r="G1427" s="83" t="n">
        <x:f>IF(A1427=0,D1427,MIN(Control!$B$17,D1427+F1427))</x:f>
        <x:v>670</x:v>
      </x:c>
      <x:c r="H1427" s="73" t="n">
        <x:f>MOD(INT(G1427)-1,Control!$B$7)+1</x:f>
        <x:v>134</x:v>
      </x:c>
      <x:c r="I1427" s="73" t="n">
        <x:f>MIN(Control!$B$6,MAX(1,INT(MAX(0,G1427)/Control!$B$7)+1))</x:f>
        <x:v>5</x:v>
      </x:c>
      <x:c r="J1427" s="73" t="n">
        <x:f>INDEX(Drivers!$H$8:$H$13,B1427)</x:f>
        <x:v>2</x:v>
      </x:c>
      <x:c r="K1427" s="73" t="n">
        <x:f>IF(J1427=1,INDEX(TrackMap!$I$8:$I$141,H1427),INDEX(TrackMap!$L$8:$L$141,H1427))</x:f>
        <x:v>3017</x:v>
      </x:c>
      <x:c r="L1427" s="73" t="str">
        <x:f>INDEX(TrackMap!$F$8:$F$141,H1427)</x:f>
        <x:v>←</x:v>
      </x:c>
      <x:c r="M1427" s="87" t="n">
        <x:f>MAX(0,G1427/Control!$B$17)</x:f>
        <x:v>1</x:v>
      </x:c>
      <x:c r="N1427" s="73" t="n">
        <x:f>IF(N1421&gt;0,N1421,IF(G1427&gt;=Control!$B$17,A1427,0))</x:f>
        <x:v>198</x:v>
      </x:c>
      <x:c r="O1427" s="91" t="n">
        <x:f>IF(N1427&gt;0,Control!$B$17+Control!$B$8+1-N1427,G1427)-B1427/100000</x:f>
        <x:v>712.99996</x:v>
      </x:c>
      <x:c r="P1427" s="73" t="n">
        <x:f>COUNTIF($O$1424:$O$1429,"&gt;"&amp;O1427)+1</x:f>
        <x:v>5</x:v>
      </x:c>
      <x:c r="Q1427" s="83" t="n">
        <x:f>MAX($G$1424:$G$1429)-G1427</x:f>
        <x:v>0</x:v>
      </x:c>
      <x:c r="R1427" s="73" t="str">
        <x:f>INDEX(TrackMap!$B$8:$B$141,H1427)</x:f>
        <x:v>发车大直道</x:v>
      </x:c>
    </x:row>
    <x:row r="1428" ht="20" customHeight="1">
      <x:c r="A1428" s="73" t="n">
        <x:v>236</x:v>
      </x:c>
      <x:c r="B1428" s="73" t="n">
        <x:v>5</x:v>
      </x:c>
      <x:c r="C1428" s="73" t="str">
        <x:f>INDEX(Drivers!$B$8:$B$13,B1428)</x:f>
        <x:v>青锋</x:v>
      </x:c>
      <x:c r="D1428" s="83" t="n">
        <x:f>G1422</x:f>
        <x:v>670</x:v>
      </x:c>
      <x:c r="E1428" s="83" t="str">
        <x:f>IF(A1428=0,"GRID",IF(D1428&gt;=Control!$B$17,"FINISHED",IF(AND(A1428&gt;=INDEX(Drivers!$G$8:$G$13,B1428),A1428&lt;INDEX(Drivers!$G$8:$G$13,B1428)+INDEX(Drivers!$J$8:$J$13,B1428)),"PIT",IF(MOD(A1428+INDEX(Drivers!$F$8:$F$13,B1428),Control!$B$11)&lt;Control!$B$13,"BOOST","RACE"))))</x:f>
        <x:v>FINISHED</x:v>
      </x:c>
      <x:c r="F1428" s="83" t="n">
        <x:f>IF(OR(E1428="GRID",E1428="FINISHED",E1428="PIT"),0,MAX(Control!$B$15,(INDEX(Drivers!$D$8:$D$13,B1428)+INDEX(Drivers!$E$8:$E$13,B1428)*SIN((A1428+INDEX(Drivers!$F$8:$F$13,B1428)+Control!$B$16)*Control!$B$14))*INDEX(TrackMap!$M$8:$M$141,MOD(INT(D1428)-1,Control!$B$7)+1)*IF(E1428="BOOST",Control!$B$12,1)))</x:f>
        <x:v>0</x:v>
      </x:c>
      <x:c r="G1428" s="83" t="n">
        <x:f>IF(A1428=0,D1428,MIN(Control!$B$17,D1428+F1428))</x:f>
        <x:v>670</x:v>
      </x:c>
      <x:c r="H1428" s="73" t="n">
        <x:f>MOD(INT(G1428)-1,Control!$B$7)+1</x:f>
        <x:v>134</x:v>
      </x:c>
      <x:c r="I1428" s="73" t="n">
        <x:f>MIN(Control!$B$6,MAX(1,INT(MAX(0,G1428)/Control!$B$7)+1))</x:f>
        <x:v>5</x:v>
      </x:c>
      <x:c r="J1428" s="73" t="n">
        <x:f>INDEX(Drivers!$H$8:$H$13,B1428)</x:f>
        <x:v>1</x:v>
      </x:c>
      <x:c r="K1428" s="73" t="n">
        <x:f>IF(J1428=1,INDEX(TrackMap!$I$8:$I$141,H1428),INDEX(TrackMap!$L$8:$L$141,H1428))</x:f>
        <x:v>3117</x:v>
      </x:c>
      <x:c r="L1428" s="73" t="str">
        <x:f>INDEX(TrackMap!$F$8:$F$141,H1428)</x:f>
        <x:v>←</x:v>
      </x:c>
      <x:c r="M1428" s="87" t="n">
        <x:f>MAX(0,G1428/Control!$B$17)</x:f>
        <x:v>1</x:v>
      </x:c>
      <x:c r="N1428" s="73" t="n">
        <x:f>IF(N1422&gt;0,N1422,IF(G1428&gt;=Control!$B$17,A1428,0))</x:f>
        <x:v>195</x:v>
      </x:c>
      <x:c r="O1428" s="91" t="n">
        <x:f>IF(N1428&gt;0,Control!$B$17+Control!$B$8+1-N1428,G1428)-B1428/100000</x:f>
        <x:v>715.99995</x:v>
      </x:c>
      <x:c r="P1428" s="73" t="n">
        <x:f>COUNTIF($O$1424:$O$1429,"&gt;"&amp;O1428)+1</x:f>
        <x:v>3</x:v>
      </x:c>
      <x:c r="Q1428" s="83" t="n">
        <x:f>MAX($G$1424:$G$1429)-G1428</x:f>
        <x:v>0</x:v>
      </x:c>
      <x:c r="R1428" s="73" t="str">
        <x:f>INDEX(TrackMap!$B$8:$B$141,H1428)</x:f>
        <x:v>发车大直道</x:v>
      </x:c>
    </x:row>
    <x:row r="1429" ht="20" customHeight="1">
      <x:c r="A1429" s="73" t="n">
        <x:v>236</x:v>
      </x:c>
      <x:c r="B1429" s="73" t="n">
        <x:v>6</x:v>
      </x:c>
      <x:c r="C1429" s="73" t="str">
        <x:f>INDEX(Drivers!$B$8:$B$13,B1429)</x:f>
        <x:v>玫速</x:v>
      </x:c>
      <x:c r="D1429" s="83" t="n">
        <x:f>G1423</x:f>
        <x:v>670</x:v>
      </x:c>
      <x:c r="E1429" s="83" t="str">
        <x:f>IF(A1429=0,"GRID",IF(D1429&gt;=Control!$B$17,"FINISHED",IF(AND(A1429&gt;=INDEX(Drivers!$G$8:$G$13,B1429),A1429&lt;INDEX(Drivers!$G$8:$G$13,B1429)+INDEX(Drivers!$J$8:$J$13,B1429)),"PIT",IF(MOD(A1429+INDEX(Drivers!$F$8:$F$13,B1429),Control!$B$11)&lt;Control!$B$13,"BOOST","RACE"))))</x:f>
        <x:v>FINISHED</x:v>
      </x:c>
      <x:c r="F1429" s="83" t="n">
        <x:f>IF(OR(E1429="GRID",E1429="FINISHED",E1429="PIT"),0,MAX(Control!$B$15,(INDEX(Drivers!$D$8:$D$13,B1429)+INDEX(Drivers!$E$8:$E$13,B1429)*SIN((A1429+INDEX(Drivers!$F$8:$F$13,B1429)+Control!$B$16)*Control!$B$14))*INDEX(TrackMap!$M$8:$M$141,MOD(INT(D1429)-1,Control!$B$7)+1)*IF(E1429="BOOST",Control!$B$12,1)))</x:f>
        <x:v>0</x:v>
      </x:c>
      <x:c r="G1429" s="83" t="n">
        <x:f>IF(A1429=0,D1429,MIN(Control!$B$17,D1429+F1429))</x:f>
        <x:v>670</x:v>
      </x:c>
      <x:c r="H1429" s="73" t="n">
        <x:f>MOD(INT(G1429)-1,Control!$B$7)+1</x:f>
        <x:v>134</x:v>
      </x:c>
      <x:c r="I1429" s="73" t="n">
        <x:f>MIN(Control!$B$6,MAX(1,INT(MAX(0,G1429)/Control!$B$7)+1))</x:f>
        <x:v>5</x:v>
      </x:c>
      <x:c r="J1429" s="73" t="n">
        <x:f>INDEX(Drivers!$H$8:$H$13,B1429)</x:f>
        <x:v>2</x:v>
      </x:c>
      <x:c r="K1429" s="73" t="n">
        <x:f>IF(J1429=1,INDEX(TrackMap!$I$8:$I$141,H1429),INDEX(TrackMap!$L$8:$L$141,H1429))</x:f>
        <x:v>3017</x:v>
      </x:c>
      <x:c r="L1429" s="73" t="str">
        <x:f>INDEX(TrackMap!$F$8:$F$141,H1429)</x:f>
        <x:v>←</x:v>
      </x:c>
      <x:c r="M1429" s="87" t="n">
        <x:f>MAX(0,G1429/Control!$B$17)</x:f>
        <x:v>1</x:v>
      </x:c>
      <x:c r="N1429" s="73" t="n">
        <x:f>IF(N1423&gt;0,N1423,IF(G1429&gt;=Control!$B$17,A1429,0))</x:f>
        <x:v>196</x:v>
      </x:c>
      <x:c r="O1429" s="91" t="n">
        <x:f>IF(N1429&gt;0,Control!$B$17+Control!$B$8+1-N1429,G1429)-B1429/100000</x:f>
        <x:v>714.99994</x:v>
      </x:c>
      <x:c r="P1429" s="73" t="n">
        <x:f>COUNTIF($O$1424:$O$1429,"&gt;"&amp;O1429)+1</x:f>
        <x:v>4</x:v>
      </x:c>
      <x:c r="Q1429" s="83" t="n">
        <x:f>MAX($G$1424:$G$1429)-G1429</x:f>
        <x:v>0</x:v>
      </x:c>
      <x:c r="R1429" s="73" t="str">
        <x:f>INDEX(TrackMap!$B$8:$B$141,H1429)</x:f>
        <x:v>发车大直道</x:v>
      </x:c>
    </x:row>
    <x:row r="1430" ht="20" customHeight="1">
      <x:c r="A1430" s="73" t="n">
        <x:v>237</x:v>
      </x:c>
      <x:c r="B1430" s="73" t="n">
        <x:v>1</x:v>
      </x:c>
      <x:c r="C1430" s="73" t="str">
        <x:f>INDEX(Drivers!$B$8:$B$13,B1430)</x:f>
        <x:v>赤焰</x:v>
      </x:c>
      <x:c r="D1430" s="83" t="n">
        <x:f>G1424</x:f>
        <x:v>670</x:v>
      </x:c>
      <x:c r="E1430" s="83" t="str">
        <x:f>IF(A1430=0,"GRID",IF(D1430&gt;=Control!$B$17,"FINISHED",IF(AND(A1430&gt;=INDEX(Drivers!$G$8:$G$13,B1430),A1430&lt;INDEX(Drivers!$G$8:$G$13,B1430)+INDEX(Drivers!$J$8:$J$13,B1430)),"PIT",IF(MOD(A1430+INDEX(Drivers!$F$8:$F$13,B1430),Control!$B$11)&lt;Control!$B$13,"BOOST","RACE"))))</x:f>
        <x:v>FINISHED</x:v>
      </x:c>
      <x:c r="F1430" s="83" t="n">
        <x:f>IF(OR(E1430="GRID",E1430="FINISHED",E1430="PIT"),0,MAX(Control!$B$15,(INDEX(Drivers!$D$8:$D$13,B1430)+INDEX(Drivers!$E$8:$E$13,B1430)*SIN((A1430+INDEX(Drivers!$F$8:$F$13,B1430)+Control!$B$16)*Control!$B$14))*INDEX(TrackMap!$M$8:$M$141,MOD(INT(D1430)-1,Control!$B$7)+1)*IF(E1430="BOOST",Control!$B$12,1)))</x:f>
        <x:v>0</x:v>
      </x:c>
      <x:c r="G1430" s="83" t="n">
        <x:f>IF(A1430=0,D1430,MIN(Control!$B$17,D1430+F1430))</x:f>
        <x:v>670</x:v>
      </x:c>
      <x:c r="H1430" s="73" t="n">
        <x:f>MOD(INT(G1430)-1,Control!$B$7)+1</x:f>
        <x:v>134</x:v>
      </x:c>
      <x:c r="I1430" s="73" t="n">
        <x:f>MIN(Control!$B$6,MAX(1,INT(MAX(0,G1430)/Control!$B$7)+1))</x:f>
        <x:v>5</x:v>
      </x:c>
      <x:c r="J1430" s="73" t="n">
        <x:f>INDEX(Drivers!$H$8:$H$13,B1430)</x:f>
        <x:v>1</x:v>
      </x:c>
      <x:c r="K1430" s="73" t="n">
        <x:f>IF(J1430=1,INDEX(TrackMap!$I$8:$I$141,H1430),INDEX(TrackMap!$L$8:$L$141,H1430))</x:f>
        <x:v>3117</x:v>
      </x:c>
      <x:c r="L1430" s="73" t="str">
        <x:f>INDEX(TrackMap!$F$8:$F$141,H1430)</x:f>
        <x:v>←</x:v>
      </x:c>
      <x:c r="M1430" s="87" t="n">
        <x:f>MAX(0,G1430/Control!$B$17)</x:f>
        <x:v>1</x:v>
      </x:c>
      <x:c r="N1430" s="73" t="n">
        <x:f>IF(N1424&gt;0,N1424,IF(G1430&gt;=Control!$B$17,A1430,0))</x:f>
        <x:v>194</x:v>
      </x:c>
      <x:c r="O1430" s="91" t="n">
        <x:f>IF(N1430&gt;0,Control!$B$17+Control!$B$8+1-N1430,G1430)-B1430/100000</x:f>
        <x:v>716.99999</x:v>
      </x:c>
      <x:c r="P1430" s="73" t="n">
        <x:f>COUNTIF($O$1430:$O$1435,"&gt;"&amp;O1430)+1</x:f>
        <x:v>1</x:v>
      </x:c>
      <x:c r="Q1430" s="83" t="n">
        <x:f>MAX($G$1430:$G$1435)-G1430</x:f>
        <x:v>0</x:v>
      </x:c>
      <x:c r="R1430" s="73" t="str">
        <x:f>INDEX(TrackMap!$B$8:$B$141,H1430)</x:f>
        <x:v>发车大直道</x:v>
      </x:c>
    </x:row>
    <x:row r="1431" ht="20" customHeight="1">
      <x:c r="A1431" s="73" t="n">
        <x:v>237</x:v>
      </x:c>
      <x:c r="B1431" s="73" t="n">
        <x:v>2</x:v>
      </x:c>
      <x:c r="C1431" s="73" t="str">
        <x:f>INDEX(Drivers!$B$8:$B$13,B1431)</x:f>
        <x:v>蓝电</x:v>
      </x:c>
      <x:c r="D1431" s="83" t="n">
        <x:f>G1425</x:f>
        <x:v>670</x:v>
      </x:c>
      <x:c r="E1431" s="83" t="str">
        <x:f>IF(A1431=0,"GRID",IF(D1431&gt;=Control!$B$17,"FINISHED",IF(AND(A1431&gt;=INDEX(Drivers!$G$8:$G$13,B1431),A1431&lt;INDEX(Drivers!$G$8:$G$13,B1431)+INDEX(Drivers!$J$8:$J$13,B1431)),"PIT",IF(MOD(A1431+INDEX(Drivers!$F$8:$F$13,B1431),Control!$B$11)&lt;Control!$B$13,"BOOST","RACE"))))</x:f>
        <x:v>FINISHED</x:v>
      </x:c>
      <x:c r="F1431" s="83" t="n">
        <x:f>IF(OR(E1431="GRID",E1431="FINISHED",E1431="PIT"),0,MAX(Control!$B$15,(INDEX(Drivers!$D$8:$D$13,B1431)+INDEX(Drivers!$E$8:$E$13,B1431)*SIN((A1431+INDEX(Drivers!$F$8:$F$13,B1431)+Control!$B$16)*Control!$B$14))*INDEX(TrackMap!$M$8:$M$141,MOD(INT(D1431)-1,Control!$B$7)+1)*IF(E1431="BOOST",Control!$B$12,1)))</x:f>
        <x:v>0</x:v>
      </x:c>
      <x:c r="G1431" s="83" t="n">
        <x:f>IF(A1431=0,D1431,MIN(Control!$B$17,D1431+F1431))</x:f>
        <x:v>670</x:v>
      </x:c>
      <x:c r="H1431" s="73" t="n">
        <x:f>MOD(INT(G1431)-1,Control!$B$7)+1</x:f>
        <x:v>134</x:v>
      </x:c>
      <x:c r="I1431" s="73" t="n">
        <x:f>MIN(Control!$B$6,MAX(1,INT(MAX(0,G1431)/Control!$B$7)+1))</x:f>
        <x:v>5</x:v>
      </x:c>
      <x:c r="J1431" s="73" t="n">
        <x:f>INDEX(Drivers!$H$8:$H$13,B1431)</x:f>
        <x:v>2</x:v>
      </x:c>
      <x:c r="K1431" s="73" t="n">
        <x:f>IF(J1431=1,INDEX(TrackMap!$I$8:$I$141,H1431),INDEX(TrackMap!$L$8:$L$141,H1431))</x:f>
        <x:v>3017</x:v>
      </x:c>
      <x:c r="L1431" s="73" t="str">
        <x:f>INDEX(TrackMap!$F$8:$F$141,H1431)</x:f>
        <x:v>←</x:v>
      </x:c>
      <x:c r="M1431" s="87" t="n">
        <x:f>MAX(0,G1431/Control!$B$17)</x:f>
        <x:v>1</x:v>
      </x:c>
      <x:c r="N1431" s="73" t="n">
        <x:f>IF(N1425&gt;0,N1425,IF(G1431&gt;=Control!$B$17,A1431,0))</x:f>
        <x:v>201</x:v>
      </x:c>
      <x:c r="O1431" s="91" t="n">
        <x:f>IF(N1431&gt;0,Control!$B$17+Control!$B$8+1-N1431,G1431)-B1431/100000</x:f>
        <x:v>709.99998</x:v>
      </x:c>
      <x:c r="P1431" s="73" t="n">
        <x:f>COUNTIF($O$1430:$O$1435,"&gt;"&amp;O1431)+1</x:f>
        <x:v>6</x:v>
      </x:c>
      <x:c r="Q1431" s="83" t="n">
        <x:f>MAX($G$1430:$G$1435)-G1431</x:f>
        <x:v>0</x:v>
      </x:c>
      <x:c r="R1431" s="73" t="str">
        <x:f>INDEX(TrackMap!$B$8:$B$141,H1431)</x:f>
        <x:v>发车大直道</x:v>
      </x:c>
    </x:row>
    <x:row r="1432" ht="20" customHeight="1">
      <x:c r="A1432" s="73" t="n">
        <x:v>237</x:v>
      </x:c>
      <x:c r="B1432" s="73" t="n">
        <x:v>3</x:v>
      </x:c>
      <x:c r="C1432" s="73" t="str">
        <x:f>INDEX(Drivers!$B$8:$B$13,B1432)</x:f>
        <x:v>金翼</x:v>
      </x:c>
      <x:c r="D1432" s="83" t="n">
        <x:f>G1426</x:f>
        <x:v>670</x:v>
      </x:c>
      <x:c r="E1432" s="83" t="str">
        <x:f>IF(A1432=0,"GRID",IF(D1432&gt;=Control!$B$17,"FINISHED",IF(AND(A1432&gt;=INDEX(Drivers!$G$8:$G$13,B1432),A1432&lt;INDEX(Drivers!$G$8:$G$13,B1432)+INDEX(Drivers!$J$8:$J$13,B1432)),"PIT",IF(MOD(A1432+INDEX(Drivers!$F$8:$F$13,B1432),Control!$B$11)&lt;Control!$B$13,"BOOST","RACE"))))</x:f>
        <x:v>FINISHED</x:v>
      </x:c>
      <x:c r="F1432" s="83" t="n">
        <x:f>IF(OR(E1432="GRID",E1432="FINISHED",E1432="PIT"),0,MAX(Control!$B$15,(INDEX(Drivers!$D$8:$D$13,B1432)+INDEX(Drivers!$E$8:$E$13,B1432)*SIN((A1432+INDEX(Drivers!$F$8:$F$13,B1432)+Control!$B$16)*Control!$B$14))*INDEX(TrackMap!$M$8:$M$141,MOD(INT(D1432)-1,Control!$B$7)+1)*IF(E1432="BOOST",Control!$B$12,1)))</x:f>
        <x:v>0</x:v>
      </x:c>
      <x:c r="G1432" s="83" t="n">
        <x:f>IF(A1432=0,D1432,MIN(Control!$B$17,D1432+F1432))</x:f>
        <x:v>670</x:v>
      </x:c>
      <x:c r="H1432" s="73" t="n">
        <x:f>MOD(INT(G1432)-1,Control!$B$7)+1</x:f>
        <x:v>134</x:v>
      </x:c>
      <x:c r="I1432" s="73" t="n">
        <x:f>MIN(Control!$B$6,MAX(1,INT(MAX(0,G1432)/Control!$B$7)+1))</x:f>
        <x:v>5</x:v>
      </x:c>
      <x:c r="J1432" s="73" t="n">
        <x:f>INDEX(Drivers!$H$8:$H$13,B1432)</x:f>
        <x:v>1</x:v>
      </x:c>
      <x:c r="K1432" s="73" t="n">
        <x:f>IF(J1432=1,INDEX(TrackMap!$I$8:$I$141,H1432),INDEX(TrackMap!$L$8:$L$141,H1432))</x:f>
        <x:v>3117</x:v>
      </x:c>
      <x:c r="L1432" s="73" t="str">
        <x:f>INDEX(TrackMap!$F$8:$F$141,H1432)</x:f>
        <x:v>←</x:v>
      </x:c>
      <x:c r="M1432" s="87" t="n">
        <x:f>MAX(0,G1432/Control!$B$17)</x:f>
        <x:v>1</x:v>
      </x:c>
      <x:c r="N1432" s="73" t="n">
        <x:f>IF(N1426&gt;0,N1426,IF(G1432&gt;=Control!$B$17,A1432,0))</x:f>
        <x:v>195</x:v>
      </x:c>
      <x:c r="O1432" s="91" t="n">
        <x:f>IF(N1432&gt;0,Control!$B$17+Control!$B$8+1-N1432,G1432)-B1432/100000</x:f>
        <x:v>715.99997</x:v>
      </x:c>
      <x:c r="P1432" s="73" t="n">
        <x:f>COUNTIF($O$1430:$O$1435,"&gt;"&amp;O1432)+1</x:f>
        <x:v>2</x:v>
      </x:c>
      <x:c r="Q1432" s="83" t="n">
        <x:f>MAX($G$1430:$G$1435)-G1432</x:f>
        <x:v>0</x:v>
      </x:c>
      <x:c r="R1432" s="73" t="str">
        <x:f>INDEX(TrackMap!$B$8:$B$141,H1432)</x:f>
        <x:v>发车大直道</x:v>
      </x:c>
    </x:row>
    <x:row r="1433" ht="20" customHeight="1">
      <x:c r="A1433" s="73" t="n">
        <x:v>237</x:v>
      </x:c>
      <x:c r="B1433" s="73" t="n">
        <x:v>4</x:v>
      </x:c>
      <x:c r="C1433" s="73" t="str">
        <x:f>INDEX(Drivers!$B$8:$B$13,B1433)</x:f>
        <x:v>紫影</x:v>
      </x:c>
      <x:c r="D1433" s="83" t="n">
        <x:f>G1427</x:f>
        <x:v>670</x:v>
      </x:c>
      <x:c r="E1433" s="83" t="str">
        <x:f>IF(A1433=0,"GRID",IF(D1433&gt;=Control!$B$17,"FINISHED",IF(AND(A1433&gt;=INDEX(Drivers!$G$8:$G$13,B1433),A1433&lt;INDEX(Drivers!$G$8:$G$13,B1433)+INDEX(Drivers!$J$8:$J$13,B1433)),"PIT",IF(MOD(A1433+INDEX(Drivers!$F$8:$F$13,B1433),Control!$B$11)&lt;Control!$B$13,"BOOST","RACE"))))</x:f>
        <x:v>FINISHED</x:v>
      </x:c>
      <x:c r="F1433" s="83" t="n">
        <x:f>IF(OR(E1433="GRID",E1433="FINISHED",E1433="PIT"),0,MAX(Control!$B$15,(INDEX(Drivers!$D$8:$D$13,B1433)+INDEX(Drivers!$E$8:$E$13,B1433)*SIN((A1433+INDEX(Drivers!$F$8:$F$13,B1433)+Control!$B$16)*Control!$B$14))*INDEX(TrackMap!$M$8:$M$141,MOD(INT(D1433)-1,Control!$B$7)+1)*IF(E1433="BOOST",Control!$B$12,1)))</x:f>
        <x:v>0</x:v>
      </x:c>
      <x:c r="G1433" s="83" t="n">
        <x:f>IF(A1433=0,D1433,MIN(Control!$B$17,D1433+F1433))</x:f>
        <x:v>670</x:v>
      </x:c>
      <x:c r="H1433" s="73" t="n">
        <x:f>MOD(INT(G1433)-1,Control!$B$7)+1</x:f>
        <x:v>134</x:v>
      </x:c>
      <x:c r="I1433" s="73" t="n">
        <x:f>MIN(Control!$B$6,MAX(1,INT(MAX(0,G1433)/Control!$B$7)+1))</x:f>
        <x:v>5</x:v>
      </x:c>
      <x:c r="J1433" s="73" t="n">
        <x:f>INDEX(Drivers!$H$8:$H$13,B1433)</x:f>
        <x:v>2</x:v>
      </x:c>
      <x:c r="K1433" s="73" t="n">
        <x:f>IF(J1433=1,INDEX(TrackMap!$I$8:$I$141,H1433),INDEX(TrackMap!$L$8:$L$141,H1433))</x:f>
        <x:v>3017</x:v>
      </x:c>
      <x:c r="L1433" s="73" t="str">
        <x:f>INDEX(TrackMap!$F$8:$F$141,H1433)</x:f>
        <x:v>←</x:v>
      </x:c>
      <x:c r="M1433" s="87" t="n">
        <x:f>MAX(0,G1433/Control!$B$17)</x:f>
        <x:v>1</x:v>
      </x:c>
      <x:c r="N1433" s="73" t="n">
        <x:f>IF(N1427&gt;0,N1427,IF(G1433&gt;=Control!$B$17,A1433,0))</x:f>
        <x:v>198</x:v>
      </x:c>
      <x:c r="O1433" s="91" t="n">
        <x:f>IF(N1433&gt;0,Control!$B$17+Control!$B$8+1-N1433,G1433)-B1433/100000</x:f>
        <x:v>712.99996</x:v>
      </x:c>
      <x:c r="P1433" s="73" t="n">
        <x:f>COUNTIF($O$1430:$O$1435,"&gt;"&amp;O1433)+1</x:f>
        <x:v>5</x:v>
      </x:c>
      <x:c r="Q1433" s="83" t="n">
        <x:f>MAX($G$1430:$G$1435)-G1433</x:f>
        <x:v>0</x:v>
      </x:c>
      <x:c r="R1433" s="73" t="str">
        <x:f>INDEX(TrackMap!$B$8:$B$141,H1433)</x:f>
        <x:v>发车大直道</x:v>
      </x:c>
    </x:row>
    <x:row r="1434" ht="20" customHeight="1">
      <x:c r="A1434" s="73" t="n">
        <x:v>237</x:v>
      </x:c>
      <x:c r="B1434" s="73" t="n">
        <x:v>5</x:v>
      </x:c>
      <x:c r="C1434" s="73" t="str">
        <x:f>INDEX(Drivers!$B$8:$B$13,B1434)</x:f>
        <x:v>青锋</x:v>
      </x:c>
      <x:c r="D1434" s="83" t="n">
        <x:f>G1428</x:f>
        <x:v>670</x:v>
      </x:c>
      <x:c r="E1434" s="83" t="str">
        <x:f>IF(A1434=0,"GRID",IF(D1434&gt;=Control!$B$17,"FINISHED",IF(AND(A1434&gt;=INDEX(Drivers!$G$8:$G$13,B1434),A1434&lt;INDEX(Drivers!$G$8:$G$13,B1434)+INDEX(Drivers!$J$8:$J$13,B1434)),"PIT",IF(MOD(A1434+INDEX(Drivers!$F$8:$F$13,B1434),Control!$B$11)&lt;Control!$B$13,"BOOST","RACE"))))</x:f>
        <x:v>FINISHED</x:v>
      </x:c>
      <x:c r="F1434" s="83" t="n">
        <x:f>IF(OR(E1434="GRID",E1434="FINISHED",E1434="PIT"),0,MAX(Control!$B$15,(INDEX(Drivers!$D$8:$D$13,B1434)+INDEX(Drivers!$E$8:$E$13,B1434)*SIN((A1434+INDEX(Drivers!$F$8:$F$13,B1434)+Control!$B$16)*Control!$B$14))*INDEX(TrackMap!$M$8:$M$141,MOD(INT(D1434)-1,Control!$B$7)+1)*IF(E1434="BOOST",Control!$B$12,1)))</x:f>
        <x:v>0</x:v>
      </x:c>
      <x:c r="G1434" s="83" t="n">
        <x:f>IF(A1434=0,D1434,MIN(Control!$B$17,D1434+F1434))</x:f>
        <x:v>670</x:v>
      </x:c>
      <x:c r="H1434" s="73" t="n">
        <x:f>MOD(INT(G1434)-1,Control!$B$7)+1</x:f>
        <x:v>134</x:v>
      </x:c>
      <x:c r="I1434" s="73" t="n">
        <x:f>MIN(Control!$B$6,MAX(1,INT(MAX(0,G1434)/Control!$B$7)+1))</x:f>
        <x:v>5</x:v>
      </x:c>
      <x:c r="J1434" s="73" t="n">
        <x:f>INDEX(Drivers!$H$8:$H$13,B1434)</x:f>
        <x:v>1</x:v>
      </x:c>
      <x:c r="K1434" s="73" t="n">
        <x:f>IF(J1434=1,INDEX(TrackMap!$I$8:$I$141,H1434),INDEX(TrackMap!$L$8:$L$141,H1434))</x:f>
        <x:v>3117</x:v>
      </x:c>
      <x:c r="L1434" s="73" t="str">
        <x:f>INDEX(TrackMap!$F$8:$F$141,H1434)</x:f>
        <x:v>←</x:v>
      </x:c>
      <x:c r="M1434" s="87" t="n">
        <x:f>MAX(0,G1434/Control!$B$17)</x:f>
        <x:v>1</x:v>
      </x:c>
      <x:c r="N1434" s="73" t="n">
        <x:f>IF(N1428&gt;0,N1428,IF(G1434&gt;=Control!$B$17,A1434,0))</x:f>
        <x:v>195</x:v>
      </x:c>
      <x:c r="O1434" s="91" t="n">
        <x:f>IF(N1434&gt;0,Control!$B$17+Control!$B$8+1-N1434,G1434)-B1434/100000</x:f>
        <x:v>715.99995</x:v>
      </x:c>
      <x:c r="P1434" s="73" t="n">
        <x:f>COUNTIF($O$1430:$O$1435,"&gt;"&amp;O1434)+1</x:f>
        <x:v>3</x:v>
      </x:c>
      <x:c r="Q1434" s="83" t="n">
        <x:f>MAX($G$1430:$G$1435)-G1434</x:f>
        <x:v>0</x:v>
      </x:c>
      <x:c r="R1434" s="73" t="str">
        <x:f>INDEX(TrackMap!$B$8:$B$141,H1434)</x:f>
        <x:v>发车大直道</x:v>
      </x:c>
    </x:row>
    <x:row r="1435" ht="20" customHeight="1">
      <x:c r="A1435" s="73" t="n">
        <x:v>237</x:v>
      </x:c>
      <x:c r="B1435" s="73" t="n">
        <x:v>6</x:v>
      </x:c>
      <x:c r="C1435" s="73" t="str">
        <x:f>INDEX(Drivers!$B$8:$B$13,B1435)</x:f>
        <x:v>玫速</x:v>
      </x:c>
      <x:c r="D1435" s="83" t="n">
        <x:f>G1429</x:f>
        <x:v>670</x:v>
      </x:c>
      <x:c r="E1435" s="83" t="str">
        <x:f>IF(A1435=0,"GRID",IF(D1435&gt;=Control!$B$17,"FINISHED",IF(AND(A1435&gt;=INDEX(Drivers!$G$8:$G$13,B1435),A1435&lt;INDEX(Drivers!$G$8:$G$13,B1435)+INDEX(Drivers!$J$8:$J$13,B1435)),"PIT",IF(MOD(A1435+INDEX(Drivers!$F$8:$F$13,B1435),Control!$B$11)&lt;Control!$B$13,"BOOST","RACE"))))</x:f>
        <x:v>FINISHED</x:v>
      </x:c>
      <x:c r="F1435" s="83" t="n">
        <x:f>IF(OR(E1435="GRID",E1435="FINISHED",E1435="PIT"),0,MAX(Control!$B$15,(INDEX(Drivers!$D$8:$D$13,B1435)+INDEX(Drivers!$E$8:$E$13,B1435)*SIN((A1435+INDEX(Drivers!$F$8:$F$13,B1435)+Control!$B$16)*Control!$B$14))*INDEX(TrackMap!$M$8:$M$141,MOD(INT(D1435)-1,Control!$B$7)+1)*IF(E1435="BOOST",Control!$B$12,1)))</x:f>
        <x:v>0</x:v>
      </x:c>
      <x:c r="G1435" s="83" t="n">
        <x:f>IF(A1435=0,D1435,MIN(Control!$B$17,D1435+F1435))</x:f>
        <x:v>670</x:v>
      </x:c>
      <x:c r="H1435" s="73" t="n">
        <x:f>MOD(INT(G1435)-1,Control!$B$7)+1</x:f>
        <x:v>134</x:v>
      </x:c>
      <x:c r="I1435" s="73" t="n">
        <x:f>MIN(Control!$B$6,MAX(1,INT(MAX(0,G1435)/Control!$B$7)+1))</x:f>
        <x:v>5</x:v>
      </x:c>
      <x:c r="J1435" s="73" t="n">
        <x:f>INDEX(Drivers!$H$8:$H$13,B1435)</x:f>
        <x:v>2</x:v>
      </x:c>
      <x:c r="K1435" s="73" t="n">
        <x:f>IF(J1435=1,INDEX(TrackMap!$I$8:$I$141,H1435),INDEX(TrackMap!$L$8:$L$141,H1435))</x:f>
        <x:v>3017</x:v>
      </x:c>
      <x:c r="L1435" s="73" t="str">
        <x:f>INDEX(TrackMap!$F$8:$F$141,H1435)</x:f>
        <x:v>←</x:v>
      </x:c>
      <x:c r="M1435" s="87" t="n">
        <x:f>MAX(0,G1435/Control!$B$17)</x:f>
        <x:v>1</x:v>
      </x:c>
      <x:c r="N1435" s="73" t="n">
        <x:f>IF(N1429&gt;0,N1429,IF(G1435&gt;=Control!$B$17,A1435,0))</x:f>
        <x:v>196</x:v>
      </x:c>
      <x:c r="O1435" s="91" t="n">
        <x:f>IF(N1435&gt;0,Control!$B$17+Control!$B$8+1-N1435,G1435)-B1435/100000</x:f>
        <x:v>714.99994</x:v>
      </x:c>
      <x:c r="P1435" s="73" t="n">
        <x:f>COUNTIF($O$1430:$O$1435,"&gt;"&amp;O1435)+1</x:f>
        <x:v>4</x:v>
      </x:c>
      <x:c r="Q1435" s="83" t="n">
        <x:f>MAX($G$1430:$G$1435)-G1435</x:f>
        <x:v>0</x:v>
      </x:c>
      <x:c r="R1435" s="73" t="str">
        <x:f>INDEX(TrackMap!$B$8:$B$141,H1435)</x:f>
        <x:v>发车大直道</x:v>
      </x:c>
    </x:row>
    <x:row r="1436" ht="20" customHeight="1">
      <x:c r="A1436" s="73" t="n">
        <x:v>238</x:v>
      </x:c>
      <x:c r="B1436" s="73" t="n">
        <x:v>1</x:v>
      </x:c>
      <x:c r="C1436" s="73" t="str">
        <x:f>INDEX(Drivers!$B$8:$B$13,B1436)</x:f>
        <x:v>赤焰</x:v>
      </x:c>
      <x:c r="D1436" s="83" t="n">
        <x:f>G1430</x:f>
        <x:v>670</x:v>
      </x:c>
      <x:c r="E1436" s="83" t="str">
        <x:f>IF(A1436=0,"GRID",IF(D1436&gt;=Control!$B$17,"FINISHED",IF(AND(A1436&gt;=INDEX(Drivers!$G$8:$G$13,B1436),A1436&lt;INDEX(Drivers!$G$8:$G$13,B1436)+INDEX(Drivers!$J$8:$J$13,B1436)),"PIT",IF(MOD(A1436+INDEX(Drivers!$F$8:$F$13,B1436),Control!$B$11)&lt;Control!$B$13,"BOOST","RACE"))))</x:f>
        <x:v>FINISHED</x:v>
      </x:c>
      <x:c r="F1436" s="83" t="n">
        <x:f>IF(OR(E1436="GRID",E1436="FINISHED",E1436="PIT"),0,MAX(Control!$B$15,(INDEX(Drivers!$D$8:$D$13,B1436)+INDEX(Drivers!$E$8:$E$13,B1436)*SIN((A1436+INDEX(Drivers!$F$8:$F$13,B1436)+Control!$B$16)*Control!$B$14))*INDEX(TrackMap!$M$8:$M$141,MOD(INT(D1436)-1,Control!$B$7)+1)*IF(E1436="BOOST",Control!$B$12,1)))</x:f>
        <x:v>0</x:v>
      </x:c>
      <x:c r="G1436" s="83" t="n">
        <x:f>IF(A1436=0,D1436,MIN(Control!$B$17,D1436+F1436))</x:f>
        <x:v>670</x:v>
      </x:c>
      <x:c r="H1436" s="73" t="n">
        <x:f>MOD(INT(G1436)-1,Control!$B$7)+1</x:f>
        <x:v>134</x:v>
      </x:c>
      <x:c r="I1436" s="73" t="n">
        <x:f>MIN(Control!$B$6,MAX(1,INT(MAX(0,G1436)/Control!$B$7)+1))</x:f>
        <x:v>5</x:v>
      </x:c>
      <x:c r="J1436" s="73" t="n">
        <x:f>INDEX(Drivers!$H$8:$H$13,B1436)</x:f>
        <x:v>1</x:v>
      </x:c>
      <x:c r="K1436" s="73" t="n">
        <x:f>IF(J1436=1,INDEX(TrackMap!$I$8:$I$141,H1436),INDEX(TrackMap!$L$8:$L$141,H1436))</x:f>
        <x:v>3117</x:v>
      </x:c>
      <x:c r="L1436" s="73" t="str">
        <x:f>INDEX(TrackMap!$F$8:$F$141,H1436)</x:f>
        <x:v>←</x:v>
      </x:c>
      <x:c r="M1436" s="87" t="n">
        <x:f>MAX(0,G1436/Control!$B$17)</x:f>
        <x:v>1</x:v>
      </x:c>
      <x:c r="N1436" s="73" t="n">
        <x:f>IF(N1430&gt;0,N1430,IF(G1436&gt;=Control!$B$17,A1436,0))</x:f>
        <x:v>194</x:v>
      </x:c>
      <x:c r="O1436" s="91" t="n">
        <x:f>IF(N1436&gt;0,Control!$B$17+Control!$B$8+1-N1436,G1436)-B1436/100000</x:f>
        <x:v>716.99999</x:v>
      </x:c>
      <x:c r="P1436" s="73" t="n">
        <x:f>COUNTIF($O$1436:$O$1441,"&gt;"&amp;O1436)+1</x:f>
        <x:v>1</x:v>
      </x:c>
      <x:c r="Q1436" s="83" t="n">
        <x:f>MAX($G$1436:$G$1441)-G1436</x:f>
        <x:v>0</x:v>
      </x:c>
      <x:c r="R1436" s="73" t="str">
        <x:f>INDEX(TrackMap!$B$8:$B$141,H1436)</x:f>
        <x:v>发车大直道</x:v>
      </x:c>
    </x:row>
    <x:row r="1437" ht="20" customHeight="1">
      <x:c r="A1437" s="73" t="n">
        <x:v>238</x:v>
      </x:c>
      <x:c r="B1437" s="73" t="n">
        <x:v>2</x:v>
      </x:c>
      <x:c r="C1437" s="73" t="str">
        <x:f>INDEX(Drivers!$B$8:$B$13,B1437)</x:f>
        <x:v>蓝电</x:v>
      </x:c>
      <x:c r="D1437" s="83" t="n">
        <x:f>G1431</x:f>
        <x:v>670</x:v>
      </x:c>
      <x:c r="E1437" s="83" t="str">
        <x:f>IF(A1437=0,"GRID",IF(D1437&gt;=Control!$B$17,"FINISHED",IF(AND(A1437&gt;=INDEX(Drivers!$G$8:$G$13,B1437),A1437&lt;INDEX(Drivers!$G$8:$G$13,B1437)+INDEX(Drivers!$J$8:$J$13,B1437)),"PIT",IF(MOD(A1437+INDEX(Drivers!$F$8:$F$13,B1437),Control!$B$11)&lt;Control!$B$13,"BOOST","RACE"))))</x:f>
        <x:v>FINISHED</x:v>
      </x:c>
      <x:c r="F1437" s="83" t="n">
        <x:f>IF(OR(E1437="GRID",E1437="FINISHED",E1437="PIT"),0,MAX(Control!$B$15,(INDEX(Drivers!$D$8:$D$13,B1437)+INDEX(Drivers!$E$8:$E$13,B1437)*SIN((A1437+INDEX(Drivers!$F$8:$F$13,B1437)+Control!$B$16)*Control!$B$14))*INDEX(TrackMap!$M$8:$M$141,MOD(INT(D1437)-1,Control!$B$7)+1)*IF(E1437="BOOST",Control!$B$12,1)))</x:f>
        <x:v>0</x:v>
      </x:c>
      <x:c r="G1437" s="83" t="n">
        <x:f>IF(A1437=0,D1437,MIN(Control!$B$17,D1437+F1437))</x:f>
        <x:v>670</x:v>
      </x:c>
      <x:c r="H1437" s="73" t="n">
        <x:f>MOD(INT(G1437)-1,Control!$B$7)+1</x:f>
        <x:v>134</x:v>
      </x:c>
      <x:c r="I1437" s="73" t="n">
        <x:f>MIN(Control!$B$6,MAX(1,INT(MAX(0,G1437)/Control!$B$7)+1))</x:f>
        <x:v>5</x:v>
      </x:c>
      <x:c r="J1437" s="73" t="n">
        <x:f>INDEX(Drivers!$H$8:$H$13,B1437)</x:f>
        <x:v>2</x:v>
      </x:c>
      <x:c r="K1437" s="73" t="n">
        <x:f>IF(J1437=1,INDEX(TrackMap!$I$8:$I$141,H1437),INDEX(TrackMap!$L$8:$L$141,H1437))</x:f>
        <x:v>3017</x:v>
      </x:c>
      <x:c r="L1437" s="73" t="str">
        <x:f>INDEX(TrackMap!$F$8:$F$141,H1437)</x:f>
        <x:v>←</x:v>
      </x:c>
      <x:c r="M1437" s="87" t="n">
        <x:f>MAX(0,G1437/Control!$B$17)</x:f>
        <x:v>1</x:v>
      </x:c>
      <x:c r="N1437" s="73" t="n">
        <x:f>IF(N1431&gt;0,N1431,IF(G1437&gt;=Control!$B$17,A1437,0))</x:f>
        <x:v>201</x:v>
      </x:c>
      <x:c r="O1437" s="91" t="n">
        <x:f>IF(N1437&gt;0,Control!$B$17+Control!$B$8+1-N1437,G1437)-B1437/100000</x:f>
        <x:v>709.99998</x:v>
      </x:c>
      <x:c r="P1437" s="73" t="n">
        <x:f>COUNTIF($O$1436:$O$1441,"&gt;"&amp;O1437)+1</x:f>
        <x:v>6</x:v>
      </x:c>
      <x:c r="Q1437" s="83" t="n">
        <x:f>MAX($G$1436:$G$1441)-G1437</x:f>
        <x:v>0</x:v>
      </x:c>
      <x:c r="R1437" s="73" t="str">
        <x:f>INDEX(TrackMap!$B$8:$B$141,H1437)</x:f>
        <x:v>发车大直道</x:v>
      </x:c>
    </x:row>
    <x:row r="1438" ht="20" customHeight="1">
      <x:c r="A1438" s="73" t="n">
        <x:v>238</x:v>
      </x:c>
      <x:c r="B1438" s="73" t="n">
        <x:v>3</x:v>
      </x:c>
      <x:c r="C1438" s="73" t="str">
        <x:f>INDEX(Drivers!$B$8:$B$13,B1438)</x:f>
        <x:v>金翼</x:v>
      </x:c>
      <x:c r="D1438" s="83" t="n">
        <x:f>G1432</x:f>
        <x:v>670</x:v>
      </x:c>
      <x:c r="E1438" s="83" t="str">
        <x:f>IF(A1438=0,"GRID",IF(D1438&gt;=Control!$B$17,"FINISHED",IF(AND(A1438&gt;=INDEX(Drivers!$G$8:$G$13,B1438),A1438&lt;INDEX(Drivers!$G$8:$G$13,B1438)+INDEX(Drivers!$J$8:$J$13,B1438)),"PIT",IF(MOD(A1438+INDEX(Drivers!$F$8:$F$13,B1438),Control!$B$11)&lt;Control!$B$13,"BOOST","RACE"))))</x:f>
        <x:v>FINISHED</x:v>
      </x:c>
      <x:c r="F1438" s="83" t="n">
        <x:f>IF(OR(E1438="GRID",E1438="FINISHED",E1438="PIT"),0,MAX(Control!$B$15,(INDEX(Drivers!$D$8:$D$13,B1438)+INDEX(Drivers!$E$8:$E$13,B1438)*SIN((A1438+INDEX(Drivers!$F$8:$F$13,B1438)+Control!$B$16)*Control!$B$14))*INDEX(TrackMap!$M$8:$M$141,MOD(INT(D1438)-1,Control!$B$7)+1)*IF(E1438="BOOST",Control!$B$12,1)))</x:f>
        <x:v>0</x:v>
      </x:c>
      <x:c r="G1438" s="83" t="n">
        <x:f>IF(A1438=0,D1438,MIN(Control!$B$17,D1438+F1438))</x:f>
        <x:v>670</x:v>
      </x:c>
      <x:c r="H1438" s="73" t="n">
        <x:f>MOD(INT(G1438)-1,Control!$B$7)+1</x:f>
        <x:v>134</x:v>
      </x:c>
      <x:c r="I1438" s="73" t="n">
        <x:f>MIN(Control!$B$6,MAX(1,INT(MAX(0,G1438)/Control!$B$7)+1))</x:f>
        <x:v>5</x:v>
      </x:c>
      <x:c r="J1438" s="73" t="n">
        <x:f>INDEX(Drivers!$H$8:$H$13,B1438)</x:f>
        <x:v>1</x:v>
      </x:c>
      <x:c r="K1438" s="73" t="n">
        <x:f>IF(J1438=1,INDEX(TrackMap!$I$8:$I$141,H1438),INDEX(TrackMap!$L$8:$L$141,H1438))</x:f>
        <x:v>3117</x:v>
      </x:c>
      <x:c r="L1438" s="73" t="str">
        <x:f>INDEX(TrackMap!$F$8:$F$141,H1438)</x:f>
        <x:v>←</x:v>
      </x:c>
      <x:c r="M1438" s="87" t="n">
        <x:f>MAX(0,G1438/Control!$B$17)</x:f>
        <x:v>1</x:v>
      </x:c>
      <x:c r="N1438" s="73" t="n">
        <x:f>IF(N1432&gt;0,N1432,IF(G1438&gt;=Control!$B$17,A1438,0))</x:f>
        <x:v>195</x:v>
      </x:c>
      <x:c r="O1438" s="91" t="n">
        <x:f>IF(N1438&gt;0,Control!$B$17+Control!$B$8+1-N1438,G1438)-B1438/100000</x:f>
        <x:v>715.99997</x:v>
      </x:c>
      <x:c r="P1438" s="73" t="n">
        <x:f>COUNTIF($O$1436:$O$1441,"&gt;"&amp;O1438)+1</x:f>
        <x:v>2</x:v>
      </x:c>
      <x:c r="Q1438" s="83" t="n">
        <x:f>MAX($G$1436:$G$1441)-G1438</x:f>
        <x:v>0</x:v>
      </x:c>
      <x:c r="R1438" s="73" t="str">
        <x:f>INDEX(TrackMap!$B$8:$B$141,H1438)</x:f>
        <x:v>发车大直道</x:v>
      </x:c>
    </x:row>
    <x:row r="1439" ht="20" customHeight="1">
      <x:c r="A1439" s="73" t="n">
        <x:v>238</x:v>
      </x:c>
      <x:c r="B1439" s="73" t="n">
        <x:v>4</x:v>
      </x:c>
      <x:c r="C1439" s="73" t="str">
        <x:f>INDEX(Drivers!$B$8:$B$13,B1439)</x:f>
        <x:v>紫影</x:v>
      </x:c>
      <x:c r="D1439" s="83" t="n">
        <x:f>G1433</x:f>
        <x:v>670</x:v>
      </x:c>
      <x:c r="E1439" s="83" t="str">
        <x:f>IF(A1439=0,"GRID",IF(D1439&gt;=Control!$B$17,"FINISHED",IF(AND(A1439&gt;=INDEX(Drivers!$G$8:$G$13,B1439),A1439&lt;INDEX(Drivers!$G$8:$G$13,B1439)+INDEX(Drivers!$J$8:$J$13,B1439)),"PIT",IF(MOD(A1439+INDEX(Drivers!$F$8:$F$13,B1439),Control!$B$11)&lt;Control!$B$13,"BOOST","RACE"))))</x:f>
        <x:v>FINISHED</x:v>
      </x:c>
      <x:c r="F1439" s="83" t="n">
        <x:f>IF(OR(E1439="GRID",E1439="FINISHED",E1439="PIT"),0,MAX(Control!$B$15,(INDEX(Drivers!$D$8:$D$13,B1439)+INDEX(Drivers!$E$8:$E$13,B1439)*SIN((A1439+INDEX(Drivers!$F$8:$F$13,B1439)+Control!$B$16)*Control!$B$14))*INDEX(TrackMap!$M$8:$M$141,MOD(INT(D1439)-1,Control!$B$7)+1)*IF(E1439="BOOST",Control!$B$12,1)))</x:f>
        <x:v>0</x:v>
      </x:c>
      <x:c r="G1439" s="83" t="n">
        <x:f>IF(A1439=0,D1439,MIN(Control!$B$17,D1439+F1439))</x:f>
        <x:v>670</x:v>
      </x:c>
      <x:c r="H1439" s="73" t="n">
        <x:f>MOD(INT(G1439)-1,Control!$B$7)+1</x:f>
        <x:v>134</x:v>
      </x:c>
      <x:c r="I1439" s="73" t="n">
        <x:f>MIN(Control!$B$6,MAX(1,INT(MAX(0,G1439)/Control!$B$7)+1))</x:f>
        <x:v>5</x:v>
      </x:c>
      <x:c r="J1439" s="73" t="n">
        <x:f>INDEX(Drivers!$H$8:$H$13,B1439)</x:f>
        <x:v>2</x:v>
      </x:c>
      <x:c r="K1439" s="73" t="n">
        <x:f>IF(J1439=1,INDEX(TrackMap!$I$8:$I$141,H1439),INDEX(TrackMap!$L$8:$L$141,H1439))</x:f>
        <x:v>3017</x:v>
      </x:c>
      <x:c r="L1439" s="73" t="str">
        <x:f>INDEX(TrackMap!$F$8:$F$141,H1439)</x:f>
        <x:v>←</x:v>
      </x:c>
      <x:c r="M1439" s="87" t="n">
        <x:f>MAX(0,G1439/Control!$B$17)</x:f>
        <x:v>1</x:v>
      </x:c>
      <x:c r="N1439" s="73" t="n">
        <x:f>IF(N1433&gt;0,N1433,IF(G1439&gt;=Control!$B$17,A1439,0))</x:f>
        <x:v>198</x:v>
      </x:c>
      <x:c r="O1439" s="91" t="n">
        <x:f>IF(N1439&gt;0,Control!$B$17+Control!$B$8+1-N1439,G1439)-B1439/100000</x:f>
        <x:v>712.99996</x:v>
      </x:c>
      <x:c r="P1439" s="73" t="n">
        <x:f>COUNTIF($O$1436:$O$1441,"&gt;"&amp;O1439)+1</x:f>
        <x:v>5</x:v>
      </x:c>
      <x:c r="Q1439" s="83" t="n">
        <x:f>MAX($G$1436:$G$1441)-G1439</x:f>
        <x:v>0</x:v>
      </x:c>
      <x:c r="R1439" s="73" t="str">
        <x:f>INDEX(TrackMap!$B$8:$B$141,H1439)</x:f>
        <x:v>发车大直道</x:v>
      </x:c>
    </x:row>
    <x:row r="1440" ht="20" customHeight="1">
      <x:c r="A1440" s="73" t="n">
        <x:v>238</x:v>
      </x:c>
      <x:c r="B1440" s="73" t="n">
        <x:v>5</x:v>
      </x:c>
      <x:c r="C1440" s="73" t="str">
        <x:f>INDEX(Drivers!$B$8:$B$13,B1440)</x:f>
        <x:v>青锋</x:v>
      </x:c>
      <x:c r="D1440" s="83" t="n">
        <x:f>G1434</x:f>
        <x:v>670</x:v>
      </x:c>
      <x:c r="E1440" s="83" t="str">
        <x:f>IF(A1440=0,"GRID",IF(D1440&gt;=Control!$B$17,"FINISHED",IF(AND(A1440&gt;=INDEX(Drivers!$G$8:$G$13,B1440),A1440&lt;INDEX(Drivers!$G$8:$G$13,B1440)+INDEX(Drivers!$J$8:$J$13,B1440)),"PIT",IF(MOD(A1440+INDEX(Drivers!$F$8:$F$13,B1440),Control!$B$11)&lt;Control!$B$13,"BOOST","RACE"))))</x:f>
        <x:v>FINISHED</x:v>
      </x:c>
      <x:c r="F1440" s="83" t="n">
        <x:f>IF(OR(E1440="GRID",E1440="FINISHED",E1440="PIT"),0,MAX(Control!$B$15,(INDEX(Drivers!$D$8:$D$13,B1440)+INDEX(Drivers!$E$8:$E$13,B1440)*SIN((A1440+INDEX(Drivers!$F$8:$F$13,B1440)+Control!$B$16)*Control!$B$14))*INDEX(TrackMap!$M$8:$M$141,MOD(INT(D1440)-1,Control!$B$7)+1)*IF(E1440="BOOST",Control!$B$12,1)))</x:f>
        <x:v>0</x:v>
      </x:c>
      <x:c r="G1440" s="83" t="n">
        <x:f>IF(A1440=0,D1440,MIN(Control!$B$17,D1440+F1440))</x:f>
        <x:v>670</x:v>
      </x:c>
      <x:c r="H1440" s="73" t="n">
        <x:f>MOD(INT(G1440)-1,Control!$B$7)+1</x:f>
        <x:v>134</x:v>
      </x:c>
      <x:c r="I1440" s="73" t="n">
        <x:f>MIN(Control!$B$6,MAX(1,INT(MAX(0,G1440)/Control!$B$7)+1))</x:f>
        <x:v>5</x:v>
      </x:c>
      <x:c r="J1440" s="73" t="n">
        <x:f>INDEX(Drivers!$H$8:$H$13,B1440)</x:f>
        <x:v>1</x:v>
      </x:c>
      <x:c r="K1440" s="73" t="n">
        <x:f>IF(J1440=1,INDEX(TrackMap!$I$8:$I$141,H1440),INDEX(TrackMap!$L$8:$L$141,H1440))</x:f>
        <x:v>3117</x:v>
      </x:c>
      <x:c r="L1440" s="73" t="str">
        <x:f>INDEX(TrackMap!$F$8:$F$141,H1440)</x:f>
        <x:v>←</x:v>
      </x:c>
      <x:c r="M1440" s="87" t="n">
        <x:f>MAX(0,G1440/Control!$B$17)</x:f>
        <x:v>1</x:v>
      </x:c>
      <x:c r="N1440" s="73" t="n">
        <x:f>IF(N1434&gt;0,N1434,IF(G1440&gt;=Control!$B$17,A1440,0))</x:f>
        <x:v>195</x:v>
      </x:c>
      <x:c r="O1440" s="91" t="n">
        <x:f>IF(N1440&gt;0,Control!$B$17+Control!$B$8+1-N1440,G1440)-B1440/100000</x:f>
        <x:v>715.99995</x:v>
      </x:c>
      <x:c r="P1440" s="73" t="n">
        <x:f>COUNTIF($O$1436:$O$1441,"&gt;"&amp;O1440)+1</x:f>
        <x:v>3</x:v>
      </x:c>
      <x:c r="Q1440" s="83" t="n">
        <x:f>MAX($G$1436:$G$1441)-G1440</x:f>
        <x:v>0</x:v>
      </x:c>
      <x:c r="R1440" s="73" t="str">
        <x:f>INDEX(TrackMap!$B$8:$B$141,H1440)</x:f>
        <x:v>发车大直道</x:v>
      </x:c>
    </x:row>
    <x:row r="1441" ht="20" customHeight="1">
      <x:c r="A1441" s="73" t="n">
        <x:v>238</x:v>
      </x:c>
      <x:c r="B1441" s="73" t="n">
        <x:v>6</x:v>
      </x:c>
      <x:c r="C1441" s="73" t="str">
        <x:f>INDEX(Drivers!$B$8:$B$13,B1441)</x:f>
        <x:v>玫速</x:v>
      </x:c>
      <x:c r="D1441" s="83" t="n">
        <x:f>G1435</x:f>
        <x:v>670</x:v>
      </x:c>
      <x:c r="E1441" s="83" t="str">
        <x:f>IF(A1441=0,"GRID",IF(D1441&gt;=Control!$B$17,"FINISHED",IF(AND(A1441&gt;=INDEX(Drivers!$G$8:$G$13,B1441),A1441&lt;INDEX(Drivers!$G$8:$G$13,B1441)+INDEX(Drivers!$J$8:$J$13,B1441)),"PIT",IF(MOD(A1441+INDEX(Drivers!$F$8:$F$13,B1441),Control!$B$11)&lt;Control!$B$13,"BOOST","RACE"))))</x:f>
        <x:v>FINISHED</x:v>
      </x:c>
      <x:c r="F1441" s="83" t="n">
        <x:f>IF(OR(E1441="GRID",E1441="FINISHED",E1441="PIT"),0,MAX(Control!$B$15,(INDEX(Drivers!$D$8:$D$13,B1441)+INDEX(Drivers!$E$8:$E$13,B1441)*SIN((A1441+INDEX(Drivers!$F$8:$F$13,B1441)+Control!$B$16)*Control!$B$14))*INDEX(TrackMap!$M$8:$M$141,MOD(INT(D1441)-1,Control!$B$7)+1)*IF(E1441="BOOST",Control!$B$12,1)))</x:f>
        <x:v>0</x:v>
      </x:c>
      <x:c r="G1441" s="83" t="n">
        <x:f>IF(A1441=0,D1441,MIN(Control!$B$17,D1441+F1441))</x:f>
        <x:v>670</x:v>
      </x:c>
      <x:c r="H1441" s="73" t="n">
        <x:f>MOD(INT(G1441)-1,Control!$B$7)+1</x:f>
        <x:v>134</x:v>
      </x:c>
      <x:c r="I1441" s="73" t="n">
        <x:f>MIN(Control!$B$6,MAX(1,INT(MAX(0,G1441)/Control!$B$7)+1))</x:f>
        <x:v>5</x:v>
      </x:c>
      <x:c r="J1441" s="73" t="n">
        <x:f>INDEX(Drivers!$H$8:$H$13,B1441)</x:f>
        <x:v>2</x:v>
      </x:c>
      <x:c r="K1441" s="73" t="n">
        <x:f>IF(J1441=1,INDEX(TrackMap!$I$8:$I$141,H1441),INDEX(TrackMap!$L$8:$L$141,H1441))</x:f>
        <x:v>3017</x:v>
      </x:c>
      <x:c r="L1441" s="73" t="str">
        <x:f>INDEX(TrackMap!$F$8:$F$141,H1441)</x:f>
        <x:v>←</x:v>
      </x:c>
      <x:c r="M1441" s="87" t="n">
        <x:f>MAX(0,G1441/Control!$B$17)</x:f>
        <x:v>1</x:v>
      </x:c>
      <x:c r="N1441" s="73" t="n">
        <x:f>IF(N1435&gt;0,N1435,IF(G1441&gt;=Control!$B$17,A1441,0))</x:f>
        <x:v>196</x:v>
      </x:c>
      <x:c r="O1441" s="91" t="n">
        <x:f>IF(N1441&gt;0,Control!$B$17+Control!$B$8+1-N1441,G1441)-B1441/100000</x:f>
        <x:v>714.99994</x:v>
      </x:c>
      <x:c r="P1441" s="73" t="n">
        <x:f>COUNTIF($O$1436:$O$1441,"&gt;"&amp;O1441)+1</x:f>
        <x:v>4</x:v>
      </x:c>
      <x:c r="Q1441" s="83" t="n">
        <x:f>MAX($G$1436:$G$1441)-G1441</x:f>
        <x:v>0</x:v>
      </x:c>
      <x:c r="R1441" s="73" t="str">
        <x:f>INDEX(TrackMap!$B$8:$B$141,H1441)</x:f>
        <x:v>发车大直道</x:v>
      </x:c>
    </x:row>
    <x:row r="1442" ht="20" customHeight="1">
      <x:c r="A1442" s="73" t="n">
        <x:v>239</x:v>
      </x:c>
      <x:c r="B1442" s="73" t="n">
        <x:v>1</x:v>
      </x:c>
      <x:c r="C1442" s="73" t="str">
        <x:f>INDEX(Drivers!$B$8:$B$13,B1442)</x:f>
        <x:v>赤焰</x:v>
      </x:c>
      <x:c r="D1442" s="83" t="n">
        <x:f>G1436</x:f>
        <x:v>670</x:v>
      </x:c>
      <x:c r="E1442" s="83" t="str">
        <x:f>IF(A1442=0,"GRID",IF(D1442&gt;=Control!$B$17,"FINISHED",IF(AND(A1442&gt;=INDEX(Drivers!$G$8:$G$13,B1442),A1442&lt;INDEX(Drivers!$G$8:$G$13,B1442)+INDEX(Drivers!$J$8:$J$13,B1442)),"PIT",IF(MOD(A1442+INDEX(Drivers!$F$8:$F$13,B1442),Control!$B$11)&lt;Control!$B$13,"BOOST","RACE"))))</x:f>
        <x:v>FINISHED</x:v>
      </x:c>
      <x:c r="F1442" s="83" t="n">
        <x:f>IF(OR(E1442="GRID",E1442="FINISHED",E1442="PIT"),0,MAX(Control!$B$15,(INDEX(Drivers!$D$8:$D$13,B1442)+INDEX(Drivers!$E$8:$E$13,B1442)*SIN((A1442+INDEX(Drivers!$F$8:$F$13,B1442)+Control!$B$16)*Control!$B$14))*INDEX(TrackMap!$M$8:$M$141,MOD(INT(D1442)-1,Control!$B$7)+1)*IF(E1442="BOOST",Control!$B$12,1)))</x:f>
        <x:v>0</x:v>
      </x:c>
      <x:c r="G1442" s="83" t="n">
        <x:f>IF(A1442=0,D1442,MIN(Control!$B$17,D1442+F1442))</x:f>
        <x:v>670</x:v>
      </x:c>
      <x:c r="H1442" s="73" t="n">
        <x:f>MOD(INT(G1442)-1,Control!$B$7)+1</x:f>
        <x:v>134</x:v>
      </x:c>
      <x:c r="I1442" s="73" t="n">
        <x:f>MIN(Control!$B$6,MAX(1,INT(MAX(0,G1442)/Control!$B$7)+1))</x:f>
        <x:v>5</x:v>
      </x:c>
      <x:c r="J1442" s="73" t="n">
        <x:f>INDEX(Drivers!$H$8:$H$13,B1442)</x:f>
        <x:v>1</x:v>
      </x:c>
      <x:c r="K1442" s="73" t="n">
        <x:f>IF(J1442=1,INDEX(TrackMap!$I$8:$I$141,H1442),INDEX(TrackMap!$L$8:$L$141,H1442))</x:f>
        <x:v>3117</x:v>
      </x:c>
      <x:c r="L1442" s="73" t="str">
        <x:f>INDEX(TrackMap!$F$8:$F$141,H1442)</x:f>
        <x:v>←</x:v>
      </x:c>
      <x:c r="M1442" s="87" t="n">
        <x:f>MAX(0,G1442/Control!$B$17)</x:f>
        <x:v>1</x:v>
      </x:c>
      <x:c r="N1442" s="73" t="n">
        <x:f>IF(N1436&gt;0,N1436,IF(G1442&gt;=Control!$B$17,A1442,0))</x:f>
        <x:v>194</x:v>
      </x:c>
      <x:c r="O1442" s="91" t="n">
        <x:f>IF(N1442&gt;0,Control!$B$17+Control!$B$8+1-N1442,G1442)-B1442/100000</x:f>
        <x:v>716.99999</x:v>
      </x:c>
      <x:c r="P1442" s="73" t="n">
        <x:f>COUNTIF($O$1442:$O$1447,"&gt;"&amp;O1442)+1</x:f>
        <x:v>1</x:v>
      </x:c>
      <x:c r="Q1442" s="83" t="n">
        <x:f>MAX($G$1442:$G$1447)-G1442</x:f>
        <x:v>0</x:v>
      </x:c>
      <x:c r="R1442" s="73" t="str">
        <x:f>INDEX(TrackMap!$B$8:$B$141,H1442)</x:f>
        <x:v>发车大直道</x:v>
      </x:c>
    </x:row>
    <x:row r="1443" ht="20" customHeight="1">
      <x:c r="A1443" s="73" t="n">
        <x:v>239</x:v>
      </x:c>
      <x:c r="B1443" s="73" t="n">
        <x:v>2</x:v>
      </x:c>
      <x:c r="C1443" s="73" t="str">
        <x:f>INDEX(Drivers!$B$8:$B$13,B1443)</x:f>
        <x:v>蓝电</x:v>
      </x:c>
      <x:c r="D1443" s="83" t="n">
        <x:f>G1437</x:f>
        <x:v>670</x:v>
      </x:c>
      <x:c r="E1443" s="83" t="str">
        <x:f>IF(A1443=0,"GRID",IF(D1443&gt;=Control!$B$17,"FINISHED",IF(AND(A1443&gt;=INDEX(Drivers!$G$8:$G$13,B1443),A1443&lt;INDEX(Drivers!$G$8:$G$13,B1443)+INDEX(Drivers!$J$8:$J$13,B1443)),"PIT",IF(MOD(A1443+INDEX(Drivers!$F$8:$F$13,B1443),Control!$B$11)&lt;Control!$B$13,"BOOST","RACE"))))</x:f>
        <x:v>FINISHED</x:v>
      </x:c>
      <x:c r="F1443" s="83" t="n">
        <x:f>IF(OR(E1443="GRID",E1443="FINISHED",E1443="PIT"),0,MAX(Control!$B$15,(INDEX(Drivers!$D$8:$D$13,B1443)+INDEX(Drivers!$E$8:$E$13,B1443)*SIN((A1443+INDEX(Drivers!$F$8:$F$13,B1443)+Control!$B$16)*Control!$B$14))*INDEX(TrackMap!$M$8:$M$141,MOD(INT(D1443)-1,Control!$B$7)+1)*IF(E1443="BOOST",Control!$B$12,1)))</x:f>
        <x:v>0</x:v>
      </x:c>
      <x:c r="G1443" s="83" t="n">
        <x:f>IF(A1443=0,D1443,MIN(Control!$B$17,D1443+F1443))</x:f>
        <x:v>670</x:v>
      </x:c>
      <x:c r="H1443" s="73" t="n">
        <x:f>MOD(INT(G1443)-1,Control!$B$7)+1</x:f>
        <x:v>134</x:v>
      </x:c>
      <x:c r="I1443" s="73" t="n">
        <x:f>MIN(Control!$B$6,MAX(1,INT(MAX(0,G1443)/Control!$B$7)+1))</x:f>
        <x:v>5</x:v>
      </x:c>
      <x:c r="J1443" s="73" t="n">
        <x:f>INDEX(Drivers!$H$8:$H$13,B1443)</x:f>
        <x:v>2</x:v>
      </x:c>
      <x:c r="K1443" s="73" t="n">
        <x:f>IF(J1443=1,INDEX(TrackMap!$I$8:$I$141,H1443),INDEX(TrackMap!$L$8:$L$141,H1443))</x:f>
        <x:v>3017</x:v>
      </x:c>
      <x:c r="L1443" s="73" t="str">
        <x:f>INDEX(TrackMap!$F$8:$F$141,H1443)</x:f>
        <x:v>←</x:v>
      </x:c>
      <x:c r="M1443" s="87" t="n">
        <x:f>MAX(0,G1443/Control!$B$17)</x:f>
        <x:v>1</x:v>
      </x:c>
      <x:c r="N1443" s="73" t="n">
        <x:f>IF(N1437&gt;0,N1437,IF(G1443&gt;=Control!$B$17,A1443,0))</x:f>
        <x:v>201</x:v>
      </x:c>
      <x:c r="O1443" s="91" t="n">
        <x:f>IF(N1443&gt;0,Control!$B$17+Control!$B$8+1-N1443,G1443)-B1443/100000</x:f>
        <x:v>709.99998</x:v>
      </x:c>
      <x:c r="P1443" s="73" t="n">
        <x:f>COUNTIF($O$1442:$O$1447,"&gt;"&amp;O1443)+1</x:f>
        <x:v>6</x:v>
      </x:c>
      <x:c r="Q1443" s="83" t="n">
        <x:f>MAX($G$1442:$G$1447)-G1443</x:f>
        <x:v>0</x:v>
      </x:c>
      <x:c r="R1443" s="73" t="str">
        <x:f>INDEX(TrackMap!$B$8:$B$141,H1443)</x:f>
        <x:v>发车大直道</x:v>
      </x:c>
    </x:row>
    <x:row r="1444" ht="20" customHeight="1">
      <x:c r="A1444" s="73" t="n">
        <x:v>239</x:v>
      </x:c>
      <x:c r="B1444" s="73" t="n">
        <x:v>3</x:v>
      </x:c>
      <x:c r="C1444" s="73" t="str">
        <x:f>INDEX(Drivers!$B$8:$B$13,B1444)</x:f>
        <x:v>金翼</x:v>
      </x:c>
      <x:c r="D1444" s="83" t="n">
        <x:f>G1438</x:f>
        <x:v>670</x:v>
      </x:c>
      <x:c r="E1444" s="83" t="str">
        <x:f>IF(A1444=0,"GRID",IF(D1444&gt;=Control!$B$17,"FINISHED",IF(AND(A1444&gt;=INDEX(Drivers!$G$8:$G$13,B1444),A1444&lt;INDEX(Drivers!$G$8:$G$13,B1444)+INDEX(Drivers!$J$8:$J$13,B1444)),"PIT",IF(MOD(A1444+INDEX(Drivers!$F$8:$F$13,B1444),Control!$B$11)&lt;Control!$B$13,"BOOST","RACE"))))</x:f>
        <x:v>FINISHED</x:v>
      </x:c>
      <x:c r="F1444" s="83" t="n">
        <x:f>IF(OR(E1444="GRID",E1444="FINISHED",E1444="PIT"),0,MAX(Control!$B$15,(INDEX(Drivers!$D$8:$D$13,B1444)+INDEX(Drivers!$E$8:$E$13,B1444)*SIN((A1444+INDEX(Drivers!$F$8:$F$13,B1444)+Control!$B$16)*Control!$B$14))*INDEX(TrackMap!$M$8:$M$141,MOD(INT(D1444)-1,Control!$B$7)+1)*IF(E1444="BOOST",Control!$B$12,1)))</x:f>
        <x:v>0</x:v>
      </x:c>
      <x:c r="G1444" s="83" t="n">
        <x:f>IF(A1444=0,D1444,MIN(Control!$B$17,D1444+F1444))</x:f>
        <x:v>670</x:v>
      </x:c>
      <x:c r="H1444" s="73" t="n">
        <x:f>MOD(INT(G1444)-1,Control!$B$7)+1</x:f>
        <x:v>134</x:v>
      </x:c>
      <x:c r="I1444" s="73" t="n">
        <x:f>MIN(Control!$B$6,MAX(1,INT(MAX(0,G1444)/Control!$B$7)+1))</x:f>
        <x:v>5</x:v>
      </x:c>
      <x:c r="J1444" s="73" t="n">
        <x:f>INDEX(Drivers!$H$8:$H$13,B1444)</x:f>
        <x:v>1</x:v>
      </x:c>
      <x:c r="K1444" s="73" t="n">
        <x:f>IF(J1444=1,INDEX(TrackMap!$I$8:$I$141,H1444),INDEX(TrackMap!$L$8:$L$141,H1444))</x:f>
        <x:v>3117</x:v>
      </x:c>
      <x:c r="L1444" s="73" t="str">
        <x:f>INDEX(TrackMap!$F$8:$F$141,H1444)</x:f>
        <x:v>←</x:v>
      </x:c>
      <x:c r="M1444" s="87" t="n">
        <x:f>MAX(0,G1444/Control!$B$17)</x:f>
        <x:v>1</x:v>
      </x:c>
      <x:c r="N1444" s="73" t="n">
        <x:f>IF(N1438&gt;0,N1438,IF(G1444&gt;=Control!$B$17,A1444,0))</x:f>
        <x:v>195</x:v>
      </x:c>
      <x:c r="O1444" s="91" t="n">
        <x:f>IF(N1444&gt;0,Control!$B$17+Control!$B$8+1-N1444,G1444)-B1444/100000</x:f>
        <x:v>715.99997</x:v>
      </x:c>
      <x:c r="P1444" s="73" t="n">
        <x:f>COUNTIF($O$1442:$O$1447,"&gt;"&amp;O1444)+1</x:f>
        <x:v>2</x:v>
      </x:c>
      <x:c r="Q1444" s="83" t="n">
        <x:f>MAX($G$1442:$G$1447)-G1444</x:f>
        <x:v>0</x:v>
      </x:c>
      <x:c r="R1444" s="73" t="str">
        <x:f>INDEX(TrackMap!$B$8:$B$141,H1444)</x:f>
        <x:v>发车大直道</x:v>
      </x:c>
    </x:row>
    <x:row r="1445" ht="20" customHeight="1">
      <x:c r="A1445" s="73" t="n">
        <x:v>239</x:v>
      </x:c>
      <x:c r="B1445" s="73" t="n">
        <x:v>4</x:v>
      </x:c>
      <x:c r="C1445" s="73" t="str">
        <x:f>INDEX(Drivers!$B$8:$B$13,B1445)</x:f>
        <x:v>紫影</x:v>
      </x:c>
      <x:c r="D1445" s="83" t="n">
        <x:f>G1439</x:f>
        <x:v>670</x:v>
      </x:c>
      <x:c r="E1445" s="83" t="str">
        <x:f>IF(A1445=0,"GRID",IF(D1445&gt;=Control!$B$17,"FINISHED",IF(AND(A1445&gt;=INDEX(Drivers!$G$8:$G$13,B1445),A1445&lt;INDEX(Drivers!$G$8:$G$13,B1445)+INDEX(Drivers!$J$8:$J$13,B1445)),"PIT",IF(MOD(A1445+INDEX(Drivers!$F$8:$F$13,B1445),Control!$B$11)&lt;Control!$B$13,"BOOST","RACE"))))</x:f>
        <x:v>FINISHED</x:v>
      </x:c>
      <x:c r="F1445" s="83" t="n">
        <x:f>IF(OR(E1445="GRID",E1445="FINISHED",E1445="PIT"),0,MAX(Control!$B$15,(INDEX(Drivers!$D$8:$D$13,B1445)+INDEX(Drivers!$E$8:$E$13,B1445)*SIN((A1445+INDEX(Drivers!$F$8:$F$13,B1445)+Control!$B$16)*Control!$B$14))*INDEX(TrackMap!$M$8:$M$141,MOD(INT(D1445)-1,Control!$B$7)+1)*IF(E1445="BOOST",Control!$B$12,1)))</x:f>
        <x:v>0</x:v>
      </x:c>
      <x:c r="G1445" s="83" t="n">
        <x:f>IF(A1445=0,D1445,MIN(Control!$B$17,D1445+F1445))</x:f>
        <x:v>670</x:v>
      </x:c>
      <x:c r="H1445" s="73" t="n">
        <x:f>MOD(INT(G1445)-1,Control!$B$7)+1</x:f>
        <x:v>134</x:v>
      </x:c>
      <x:c r="I1445" s="73" t="n">
        <x:f>MIN(Control!$B$6,MAX(1,INT(MAX(0,G1445)/Control!$B$7)+1))</x:f>
        <x:v>5</x:v>
      </x:c>
      <x:c r="J1445" s="73" t="n">
        <x:f>INDEX(Drivers!$H$8:$H$13,B1445)</x:f>
        <x:v>2</x:v>
      </x:c>
      <x:c r="K1445" s="73" t="n">
        <x:f>IF(J1445=1,INDEX(TrackMap!$I$8:$I$141,H1445),INDEX(TrackMap!$L$8:$L$141,H1445))</x:f>
        <x:v>3017</x:v>
      </x:c>
      <x:c r="L1445" s="73" t="str">
        <x:f>INDEX(TrackMap!$F$8:$F$141,H1445)</x:f>
        <x:v>←</x:v>
      </x:c>
      <x:c r="M1445" s="87" t="n">
        <x:f>MAX(0,G1445/Control!$B$17)</x:f>
        <x:v>1</x:v>
      </x:c>
      <x:c r="N1445" s="73" t="n">
        <x:f>IF(N1439&gt;0,N1439,IF(G1445&gt;=Control!$B$17,A1445,0))</x:f>
        <x:v>198</x:v>
      </x:c>
      <x:c r="O1445" s="91" t="n">
        <x:f>IF(N1445&gt;0,Control!$B$17+Control!$B$8+1-N1445,G1445)-B1445/100000</x:f>
        <x:v>712.99996</x:v>
      </x:c>
      <x:c r="P1445" s="73" t="n">
        <x:f>COUNTIF($O$1442:$O$1447,"&gt;"&amp;O1445)+1</x:f>
        <x:v>5</x:v>
      </x:c>
      <x:c r="Q1445" s="83" t="n">
        <x:f>MAX($G$1442:$G$1447)-G1445</x:f>
        <x:v>0</x:v>
      </x:c>
      <x:c r="R1445" s="73" t="str">
        <x:f>INDEX(TrackMap!$B$8:$B$141,H1445)</x:f>
        <x:v>发车大直道</x:v>
      </x:c>
    </x:row>
    <x:row r="1446" ht="20" customHeight="1">
      <x:c r="A1446" s="73" t="n">
        <x:v>239</x:v>
      </x:c>
      <x:c r="B1446" s="73" t="n">
        <x:v>5</x:v>
      </x:c>
      <x:c r="C1446" s="73" t="str">
        <x:f>INDEX(Drivers!$B$8:$B$13,B1446)</x:f>
        <x:v>青锋</x:v>
      </x:c>
      <x:c r="D1446" s="83" t="n">
        <x:f>G1440</x:f>
        <x:v>670</x:v>
      </x:c>
      <x:c r="E1446" s="83" t="str">
        <x:f>IF(A1446=0,"GRID",IF(D1446&gt;=Control!$B$17,"FINISHED",IF(AND(A1446&gt;=INDEX(Drivers!$G$8:$G$13,B1446),A1446&lt;INDEX(Drivers!$G$8:$G$13,B1446)+INDEX(Drivers!$J$8:$J$13,B1446)),"PIT",IF(MOD(A1446+INDEX(Drivers!$F$8:$F$13,B1446),Control!$B$11)&lt;Control!$B$13,"BOOST","RACE"))))</x:f>
        <x:v>FINISHED</x:v>
      </x:c>
      <x:c r="F1446" s="83" t="n">
        <x:f>IF(OR(E1446="GRID",E1446="FINISHED",E1446="PIT"),0,MAX(Control!$B$15,(INDEX(Drivers!$D$8:$D$13,B1446)+INDEX(Drivers!$E$8:$E$13,B1446)*SIN((A1446+INDEX(Drivers!$F$8:$F$13,B1446)+Control!$B$16)*Control!$B$14))*INDEX(TrackMap!$M$8:$M$141,MOD(INT(D1446)-1,Control!$B$7)+1)*IF(E1446="BOOST",Control!$B$12,1)))</x:f>
        <x:v>0</x:v>
      </x:c>
      <x:c r="G1446" s="83" t="n">
        <x:f>IF(A1446=0,D1446,MIN(Control!$B$17,D1446+F1446))</x:f>
        <x:v>670</x:v>
      </x:c>
      <x:c r="H1446" s="73" t="n">
        <x:f>MOD(INT(G1446)-1,Control!$B$7)+1</x:f>
        <x:v>134</x:v>
      </x:c>
      <x:c r="I1446" s="73" t="n">
        <x:f>MIN(Control!$B$6,MAX(1,INT(MAX(0,G1446)/Control!$B$7)+1))</x:f>
        <x:v>5</x:v>
      </x:c>
      <x:c r="J1446" s="73" t="n">
        <x:f>INDEX(Drivers!$H$8:$H$13,B1446)</x:f>
        <x:v>1</x:v>
      </x:c>
      <x:c r="K1446" s="73" t="n">
        <x:f>IF(J1446=1,INDEX(TrackMap!$I$8:$I$141,H1446),INDEX(TrackMap!$L$8:$L$141,H1446))</x:f>
        <x:v>3117</x:v>
      </x:c>
      <x:c r="L1446" s="73" t="str">
        <x:f>INDEX(TrackMap!$F$8:$F$141,H1446)</x:f>
        <x:v>←</x:v>
      </x:c>
      <x:c r="M1446" s="87" t="n">
        <x:f>MAX(0,G1446/Control!$B$17)</x:f>
        <x:v>1</x:v>
      </x:c>
      <x:c r="N1446" s="73" t="n">
        <x:f>IF(N1440&gt;0,N1440,IF(G1446&gt;=Control!$B$17,A1446,0))</x:f>
        <x:v>195</x:v>
      </x:c>
      <x:c r="O1446" s="91" t="n">
        <x:f>IF(N1446&gt;0,Control!$B$17+Control!$B$8+1-N1446,G1446)-B1446/100000</x:f>
        <x:v>715.99995</x:v>
      </x:c>
      <x:c r="P1446" s="73" t="n">
        <x:f>COUNTIF($O$1442:$O$1447,"&gt;"&amp;O1446)+1</x:f>
        <x:v>3</x:v>
      </x:c>
      <x:c r="Q1446" s="83" t="n">
        <x:f>MAX($G$1442:$G$1447)-G1446</x:f>
        <x:v>0</x:v>
      </x:c>
      <x:c r="R1446" s="73" t="str">
        <x:f>INDEX(TrackMap!$B$8:$B$141,H1446)</x:f>
        <x:v>发车大直道</x:v>
      </x:c>
    </x:row>
    <x:row r="1447" ht="20" customHeight="1">
      <x:c r="A1447" s="73" t="n">
        <x:v>239</x:v>
      </x:c>
      <x:c r="B1447" s="73" t="n">
        <x:v>6</x:v>
      </x:c>
      <x:c r="C1447" s="73" t="str">
        <x:f>INDEX(Drivers!$B$8:$B$13,B1447)</x:f>
        <x:v>玫速</x:v>
      </x:c>
      <x:c r="D1447" s="83" t="n">
        <x:f>G1441</x:f>
        <x:v>670</x:v>
      </x:c>
      <x:c r="E1447" s="83" t="str">
        <x:f>IF(A1447=0,"GRID",IF(D1447&gt;=Control!$B$17,"FINISHED",IF(AND(A1447&gt;=INDEX(Drivers!$G$8:$G$13,B1447),A1447&lt;INDEX(Drivers!$G$8:$G$13,B1447)+INDEX(Drivers!$J$8:$J$13,B1447)),"PIT",IF(MOD(A1447+INDEX(Drivers!$F$8:$F$13,B1447),Control!$B$11)&lt;Control!$B$13,"BOOST","RACE"))))</x:f>
        <x:v>FINISHED</x:v>
      </x:c>
      <x:c r="F1447" s="83" t="n">
        <x:f>IF(OR(E1447="GRID",E1447="FINISHED",E1447="PIT"),0,MAX(Control!$B$15,(INDEX(Drivers!$D$8:$D$13,B1447)+INDEX(Drivers!$E$8:$E$13,B1447)*SIN((A1447+INDEX(Drivers!$F$8:$F$13,B1447)+Control!$B$16)*Control!$B$14))*INDEX(TrackMap!$M$8:$M$141,MOD(INT(D1447)-1,Control!$B$7)+1)*IF(E1447="BOOST",Control!$B$12,1)))</x:f>
        <x:v>0</x:v>
      </x:c>
      <x:c r="G1447" s="83" t="n">
        <x:f>IF(A1447=0,D1447,MIN(Control!$B$17,D1447+F1447))</x:f>
        <x:v>670</x:v>
      </x:c>
      <x:c r="H1447" s="73" t="n">
        <x:f>MOD(INT(G1447)-1,Control!$B$7)+1</x:f>
        <x:v>134</x:v>
      </x:c>
      <x:c r="I1447" s="73" t="n">
        <x:f>MIN(Control!$B$6,MAX(1,INT(MAX(0,G1447)/Control!$B$7)+1))</x:f>
        <x:v>5</x:v>
      </x:c>
      <x:c r="J1447" s="73" t="n">
        <x:f>INDEX(Drivers!$H$8:$H$13,B1447)</x:f>
        <x:v>2</x:v>
      </x:c>
      <x:c r="K1447" s="73" t="n">
        <x:f>IF(J1447=1,INDEX(TrackMap!$I$8:$I$141,H1447),INDEX(TrackMap!$L$8:$L$141,H1447))</x:f>
        <x:v>3017</x:v>
      </x:c>
      <x:c r="L1447" s="73" t="str">
        <x:f>INDEX(TrackMap!$F$8:$F$141,H1447)</x:f>
        <x:v>←</x:v>
      </x:c>
      <x:c r="M1447" s="87" t="n">
        <x:f>MAX(0,G1447/Control!$B$17)</x:f>
        <x:v>1</x:v>
      </x:c>
      <x:c r="N1447" s="73" t="n">
        <x:f>IF(N1441&gt;0,N1441,IF(G1447&gt;=Control!$B$17,A1447,0))</x:f>
        <x:v>196</x:v>
      </x:c>
      <x:c r="O1447" s="91" t="n">
        <x:f>IF(N1447&gt;0,Control!$B$17+Control!$B$8+1-N1447,G1447)-B1447/100000</x:f>
        <x:v>714.99994</x:v>
      </x:c>
      <x:c r="P1447" s="73" t="n">
        <x:f>COUNTIF($O$1442:$O$1447,"&gt;"&amp;O1447)+1</x:f>
        <x:v>4</x:v>
      </x:c>
      <x:c r="Q1447" s="83" t="n">
        <x:f>MAX($G$1442:$G$1447)-G1447</x:f>
        <x:v>0</x:v>
      </x:c>
      <x:c r="R1447" s="73" t="str">
        <x:f>INDEX(TrackMap!$B$8:$B$141,H1447)</x:f>
        <x:v>发车大直道</x:v>
      </x:c>
    </x:row>
    <x:row r="1448" ht="20" customHeight="1">
      <x:c r="A1448" s="73" t="n">
        <x:v>240</x:v>
      </x:c>
      <x:c r="B1448" s="73" t="n">
        <x:v>1</x:v>
      </x:c>
      <x:c r="C1448" s="73" t="str">
        <x:f>INDEX(Drivers!$B$8:$B$13,B1448)</x:f>
        <x:v>赤焰</x:v>
      </x:c>
      <x:c r="D1448" s="83" t="n">
        <x:f>G1442</x:f>
        <x:v>670</x:v>
      </x:c>
      <x:c r="E1448" s="83" t="str">
        <x:f>IF(A1448=0,"GRID",IF(D1448&gt;=Control!$B$17,"FINISHED",IF(AND(A1448&gt;=INDEX(Drivers!$G$8:$G$13,B1448),A1448&lt;INDEX(Drivers!$G$8:$G$13,B1448)+INDEX(Drivers!$J$8:$J$13,B1448)),"PIT",IF(MOD(A1448+INDEX(Drivers!$F$8:$F$13,B1448),Control!$B$11)&lt;Control!$B$13,"BOOST","RACE"))))</x:f>
        <x:v>FINISHED</x:v>
      </x:c>
      <x:c r="F1448" s="83" t="n">
        <x:f>IF(OR(E1448="GRID",E1448="FINISHED",E1448="PIT"),0,MAX(Control!$B$15,(INDEX(Drivers!$D$8:$D$13,B1448)+INDEX(Drivers!$E$8:$E$13,B1448)*SIN((A1448+INDEX(Drivers!$F$8:$F$13,B1448)+Control!$B$16)*Control!$B$14))*INDEX(TrackMap!$M$8:$M$141,MOD(INT(D1448)-1,Control!$B$7)+1)*IF(E1448="BOOST",Control!$B$12,1)))</x:f>
        <x:v>0</x:v>
      </x:c>
      <x:c r="G1448" s="83" t="n">
        <x:f>IF(A1448=0,D1448,MIN(Control!$B$17,D1448+F1448))</x:f>
        <x:v>670</x:v>
      </x:c>
      <x:c r="H1448" s="73" t="n">
        <x:f>MOD(INT(G1448)-1,Control!$B$7)+1</x:f>
        <x:v>134</x:v>
      </x:c>
      <x:c r="I1448" s="73" t="n">
        <x:f>MIN(Control!$B$6,MAX(1,INT(MAX(0,G1448)/Control!$B$7)+1))</x:f>
        <x:v>5</x:v>
      </x:c>
      <x:c r="J1448" s="73" t="n">
        <x:f>INDEX(Drivers!$H$8:$H$13,B1448)</x:f>
        <x:v>1</x:v>
      </x:c>
      <x:c r="K1448" s="73" t="n">
        <x:f>IF(J1448=1,INDEX(TrackMap!$I$8:$I$141,H1448),INDEX(TrackMap!$L$8:$L$141,H1448))</x:f>
        <x:v>3117</x:v>
      </x:c>
      <x:c r="L1448" s="73" t="str">
        <x:f>INDEX(TrackMap!$F$8:$F$141,H1448)</x:f>
        <x:v>←</x:v>
      </x:c>
      <x:c r="M1448" s="87" t="n">
        <x:f>MAX(0,G1448/Control!$B$17)</x:f>
        <x:v>1</x:v>
      </x:c>
      <x:c r="N1448" s="73" t="n">
        <x:f>IF(N1442&gt;0,N1442,IF(G1448&gt;=Control!$B$17,A1448,0))</x:f>
        <x:v>194</x:v>
      </x:c>
      <x:c r="O1448" s="91" t="n">
        <x:f>IF(N1448&gt;0,Control!$B$17+Control!$B$8+1-N1448,G1448)-B1448/100000</x:f>
        <x:v>716.99999</x:v>
      </x:c>
      <x:c r="P1448" s="73" t="n">
        <x:f>COUNTIF($O$1448:$O$1453,"&gt;"&amp;O1448)+1</x:f>
        <x:v>1</x:v>
      </x:c>
      <x:c r="Q1448" s="83" t="n">
        <x:f>MAX($G$1448:$G$1453)-G1448</x:f>
        <x:v>0</x:v>
      </x:c>
      <x:c r="R1448" s="73" t="str">
        <x:f>INDEX(TrackMap!$B$8:$B$141,H1448)</x:f>
        <x:v>发车大直道</x:v>
      </x:c>
    </x:row>
    <x:row r="1449" ht="20" customHeight="1">
      <x:c r="A1449" s="73" t="n">
        <x:v>240</x:v>
      </x:c>
      <x:c r="B1449" s="73" t="n">
        <x:v>2</x:v>
      </x:c>
      <x:c r="C1449" s="73" t="str">
        <x:f>INDEX(Drivers!$B$8:$B$13,B1449)</x:f>
        <x:v>蓝电</x:v>
      </x:c>
      <x:c r="D1449" s="83" t="n">
        <x:f>G1443</x:f>
        <x:v>670</x:v>
      </x:c>
      <x:c r="E1449" s="83" t="str">
        <x:f>IF(A1449=0,"GRID",IF(D1449&gt;=Control!$B$17,"FINISHED",IF(AND(A1449&gt;=INDEX(Drivers!$G$8:$G$13,B1449),A1449&lt;INDEX(Drivers!$G$8:$G$13,B1449)+INDEX(Drivers!$J$8:$J$13,B1449)),"PIT",IF(MOD(A1449+INDEX(Drivers!$F$8:$F$13,B1449),Control!$B$11)&lt;Control!$B$13,"BOOST","RACE"))))</x:f>
        <x:v>FINISHED</x:v>
      </x:c>
      <x:c r="F1449" s="83" t="n">
        <x:f>IF(OR(E1449="GRID",E1449="FINISHED",E1449="PIT"),0,MAX(Control!$B$15,(INDEX(Drivers!$D$8:$D$13,B1449)+INDEX(Drivers!$E$8:$E$13,B1449)*SIN((A1449+INDEX(Drivers!$F$8:$F$13,B1449)+Control!$B$16)*Control!$B$14))*INDEX(TrackMap!$M$8:$M$141,MOD(INT(D1449)-1,Control!$B$7)+1)*IF(E1449="BOOST",Control!$B$12,1)))</x:f>
        <x:v>0</x:v>
      </x:c>
      <x:c r="G1449" s="83" t="n">
        <x:f>IF(A1449=0,D1449,MIN(Control!$B$17,D1449+F1449))</x:f>
        <x:v>670</x:v>
      </x:c>
      <x:c r="H1449" s="73" t="n">
        <x:f>MOD(INT(G1449)-1,Control!$B$7)+1</x:f>
        <x:v>134</x:v>
      </x:c>
      <x:c r="I1449" s="73" t="n">
        <x:f>MIN(Control!$B$6,MAX(1,INT(MAX(0,G1449)/Control!$B$7)+1))</x:f>
        <x:v>5</x:v>
      </x:c>
      <x:c r="J1449" s="73" t="n">
        <x:f>INDEX(Drivers!$H$8:$H$13,B1449)</x:f>
        <x:v>2</x:v>
      </x:c>
      <x:c r="K1449" s="73" t="n">
        <x:f>IF(J1449=1,INDEX(TrackMap!$I$8:$I$141,H1449),INDEX(TrackMap!$L$8:$L$141,H1449))</x:f>
        <x:v>3017</x:v>
      </x:c>
      <x:c r="L1449" s="73" t="str">
        <x:f>INDEX(TrackMap!$F$8:$F$141,H1449)</x:f>
        <x:v>←</x:v>
      </x:c>
      <x:c r="M1449" s="87" t="n">
        <x:f>MAX(0,G1449/Control!$B$17)</x:f>
        <x:v>1</x:v>
      </x:c>
      <x:c r="N1449" s="73" t="n">
        <x:f>IF(N1443&gt;0,N1443,IF(G1449&gt;=Control!$B$17,A1449,0))</x:f>
        <x:v>201</x:v>
      </x:c>
      <x:c r="O1449" s="91" t="n">
        <x:f>IF(N1449&gt;0,Control!$B$17+Control!$B$8+1-N1449,G1449)-B1449/100000</x:f>
        <x:v>709.99998</x:v>
      </x:c>
      <x:c r="P1449" s="73" t="n">
        <x:f>COUNTIF($O$1448:$O$1453,"&gt;"&amp;O1449)+1</x:f>
        <x:v>6</x:v>
      </x:c>
      <x:c r="Q1449" s="83" t="n">
        <x:f>MAX($G$1448:$G$1453)-G1449</x:f>
        <x:v>0</x:v>
      </x:c>
      <x:c r="R1449" s="73" t="str">
        <x:f>INDEX(TrackMap!$B$8:$B$141,H1449)</x:f>
        <x:v>发车大直道</x:v>
      </x:c>
    </x:row>
    <x:row r="1450" ht="20" customHeight="1">
      <x:c r="A1450" s="73" t="n">
        <x:v>240</x:v>
      </x:c>
      <x:c r="B1450" s="73" t="n">
        <x:v>3</x:v>
      </x:c>
      <x:c r="C1450" s="73" t="str">
        <x:f>INDEX(Drivers!$B$8:$B$13,B1450)</x:f>
        <x:v>金翼</x:v>
      </x:c>
      <x:c r="D1450" s="83" t="n">
        <x:f>G1444</x:f>
        <x:v>670</x:v>
      </x:c>
      <x:c r="E1450" s="83" t="str">
        <x:f>IF(A1450=0,"GRID",IF(D1450&gt;=Control!$B$17,"FINISHED",IF(AND(A1450&gt;=INDEX(Drivers!$G$8:$G$13,B1450),A1450&lt;INDEX(Drivers!$G$8:$G$13,B1450)+INDEX(Drivers!$J$8:$J$13,B1450)),"PIT",IF(MOD(A1450+INDEX(Drivers!$F$8:$F$13,B1450),Control!$B$11)&lt;Control!$B$13,"BOOST","RACE"))))</x:f>
        <x:v>FINISHED</x:v>
      </x:c>
      <x:c r="F1450" s="83" t="n">
        <x:f>IF(OR(E1450="GRID",E1450="FINISHED",E1450="PIT"),0,MAX(Control!$B$15,(INDEX(Drivers!$D$8:$D$13,B1450)+INDEX(Drivers!$E$8:$E$13,B1450)*SIN((A1450+INDEX(Drivers!$F$8:$F$13,B1450)+Control!$B$16)*Control!$B$14))*INDEX(TrackMap!$M$8:$M$141,MOD(INT(D1450)-1,Control!$B$7)+1)*IF(E1450="BOOST",Control!$B$12,1)))</x:f>
        <x:v>0</x:v>
      </x:c>
      <x:c r="G1450" s="83" t="n">
        <x:f>IF(A1450=0,D1450,MIN(Control!$B$17,D1450+F1450))</x:f>
        <x:v>670</x:v>
      </x:c>
      <x:c r="H1450" s="73" t="n">
        <x:f>MOD(INT(G1450)-1,Control!$B$7)+1</x:f>
        <x:v>134</x:v>
      </x:c>
      <x:c r="I1450" s="73" t="n">
        <x:f>MIN(Control!$B$6,MAX(1,INT(MAX(0,G1450)/Control!$B$7)+1))</x:f>
        <x:v>5</x:v>
      </x:c>
      <x:c r="J1450" s="73" t="n">
        <x:f>INDEX(Drivers!$H$8:$H$13,B1450)</x:f>
        <x:v>1</x:v>
      </x:c>
      <x:c r="K1450" s="73" t="n">
        <x:f>IF(J1450=1,INDEX(TrackMap!$I$8:$I$141,H1450),INDEX(TrackMap!$L$8:$L$141,H1450))</x:f>
        <x:v>3117</x:v>
      </x:c>
      <x:c r="L1450" s="73" t="str">
        <x:f>INDEX(TrackMap!$F$8:$F$141,H1450)</x:f>
        <x:v>←</x:v>
      </x:c>
      <x:c r="M1450" s="87" t="n">
        <x:f>MAX(0,G1450/Control!$B$17)</x:f>
        <x:v>1</x:v>
      </x:c>
      <x:c r="N1450" s="73" t="n">
        <x:f>IF(N1444&gt;0,N1444,IF(G1450&gt;=Control!$B$17,A1450,0))</x:f>
        <x:v>195</x:v>
      </x:c>
      <x:c r="O1450" s="91" t="n">
        <x:f>IF(N1450&gt;0,Control!$B$17+Control!$B$8+1-N1450,G1450)-B1450/100000</x:f>
        <x:v>715.99997</x:v>
      </x:c>
      <x:c r="P1450" s="73" t="n">
        <x:f>COUNTIF($O$1448:$O$1453,"&gt;"&amp;O1450)+1</x:f>
        <x:v>2</x:v>
      </x:c>
      <x:c r="Q1450" s="83" t="n">
        <x:f>MAX($G$1448:$G$1453)-G1450</x:f>
        <x:v>0</x:v>
      </x:c>
      <x:c r="R1450" s="73" t="str">
        <x:f>INDEX(TrackMap!$B$8:$B$141,H1450)</x:f>
        <x:v>发车大直道</x:v>
      </x:c>
    </x:row>
    <x:row r="1451" ht="20" customHeight="1">
      <x:c r="A1451" s="73" t="n">
        <x:v>240</x:v>
      </x:c>
      <x:c r="B1451" s="73" t="n">
        <x:v>4</x:v>
      </x:c>
      <x:c r="C1451" s="73" t="str">
        <x:f>INDEX(Drivers!$B$8:$B$13,B1451)</x:f>
        <x:v>紫影</x:v>
      </x:c>
      <x:c r="D1451" s="83" t="n">
        <x:f>G1445</x:f>
        <x:v>670</x:v>
      </x:c>
      <x:c r="E1451" s="83" t="str">
        <x:f>IF(A1451=0,"GRID",IF(D1451&gt;=Control!$B$17,"FINISHED",IF(AND(A1451&gt;=INDEX(Drivers!$G$8:$G$13,B1451),A1451&lt;INDEX(Drivers!$G$8:$G$13,B1451)+INDEX(Drivers!$J$8:$J$13,B1451)),"PIT",IF(MOD(A1451+INDEX(Drivers!$F$8:$F$13,B1451),Control!$B$11)&lt;Control!$B$13,"BOOST","RACE"))))</x:f>
        <x:v>FINISHED</x:v>
      </x:c>
      <x:c r="F1451" s="83" t="n">
        <x:f>IF(OR(E1451="GRID",E1451="FINISHED",E1451="PIT"),0,MAX(Control!$B$15,(INDEX(Drivers!$D$8:$D$13,B1451)+INDEX(Drivers!$E$8:$E$13,B1451)*SIN((A1451+INDEX(Drivers!$F$8:$F$13,B1451)+Control!$B$16)*Control!$B$14))*INDEX(TrackMap!$M$8:$M$141,MOD(INT(D1451)-1,Control!$B$7)+1)*IF(E1451="BOOST",Control!$B$12,1)))</x:f>
        <x:v>0</x:v>
      </x:c>
      <x:c r="G1451" s="83" t="n">
        <x:f>IF(A1451=0,D1451,MIN(Control!$B$17,D1451+F1451))</x:f>
        <x:v>670</x:v>
      </x:c>
      <x:c r="H1451" s="73" t="n">
        <x:f>MOD(INT(G1451)-1,Control!$B$7)+1</x:f>
        <x:v>134</x:v>
      </x:c>
      <x:c r="I1451" s="73" t="n">
        <x:f>MIN(Control!$B$6,MAX(1,INT(MAX(0,G1451)/Control!$B$7)+1))</x:f>
        <x:v>5</x:v>
      </x:c>
      <x:c r="J1451" s="73" t="n">
        <x:f>INDEX(Drivers!$H$8:$H$13,B1451)</x:f>
        <x:v>2</x:v>
      </x:c>
      <x:c r="K1451" s="73" t="n">
        <x:f>IF(J1451=1,INDEX(TrackMap!$I$8:$I$141,H1451),INDEX(TrackMap!$L$8:$L$141,H1451))</x:f>
        <x:v>3017</x:v>
      </x:c>
      <x:c r="L1451" s="73" t="str">
        <x:f>INDEX(TrackMap!$F$8:$F$141,H1451)</x:f>
        <x:v>←</x:v>
      </x:c>
      <x:c r="M1451" s="87" t="n">
        <x:f>MAX(0,G1451/Control!$B$17)</x:f>
        <x:v>1</x:v>
      </x:c>
      <x:c r="N1451" s="73" t="n">
        <x:f>IF(N1445&gt;0,N1445,IF(G1451&gt;=Control!$B$17,A1451,0))</x:f>
        <x:v>198</x:v>
      </x:c>
      <x:c r="O1451" s="91" t="n">
        <x:f>IF(N1451&gt;0,Control!$B$17+Control!$B$8+1-N1451,G1451)-B1451/100000</x:f>
        <x:v>712.99996</x:v>
      </x:c>
      <x:c r="P1451" s="73" t="n">
        <x:f>COUNTIF($O$1448:$O$1453,"&gt;"&amp;O1451)+1</x:f>
        <x:v>5</x:v>
      </x:c>
      <x:c r="Q1451" s="83" t="n">
        <x:f>MAX($G$1448:$G$1453)-G1451</x:f>
        <x:v>0</x:v>
      </x:c>
      <x:c r="R1451" s="73" t="str">
        <x:f>INDEX(TrackMap!$B$8:$B$141,H1451)</x:f>
        <x:v>发车大直道</x:v>
      </x:c>
    </x:row>
    <x:row r="1452" ht="20" customHeight="1">
      <x:c r="A1452" s="73" t="n">
        <x:v>240</x:v>
      </x:c>
      <x:c r="B1452" s="73" t="n">
        <x:v>5</x:v>
      </x:c>
      <x:c r="C1452" s="73" t="str">
        <x:f>INDEX(Drivers!$B$8:$B$13,B1452)</x:f>
        <x:v>青锋</x:v>
      </x:c>
      <x:c r="D1452" s="83" t="n">
        <x:f>G1446</x:f>
        <x:v>670</x:v>
      </x:c>
      <x:c r="E1452" s="83" t="str">
        <x:f>IF(A1452=0,"GRID",IF(D1452&gt;=Control!$B$17,"FINISHED",IF(AND(A1452&gt;=INDEX(Drivers!$G$8:$G$13,B1452),A1452&lt;INDEX(Drivers!$G$8:$G$13,B1452)+INDEX(Drivers!$J$8:$J$13,B1452)),"PIT",IF(MOD(A1452+INDEX(Drivers!$F$8:$F$13,B1452),Control!$B$11)&lt;Control!$B$13,"BOOST","RACE"))))</x:f>
        <x:v>FINISHED</x:v>
      </x:c>
      <x:c r="F1452" s="83" t="n">
        <x:f>IF(OR(E1452="GRID",E1452="FINISHED",E1452="PIT"),0,MAX(Control!$B$15,(INDEX(Drivers!$D$8:$D$13,B1452)+INDEX(Drivers!$E$8:$E$13,B1452)*SIN((A1452+INDEX(Drivers!$F$8:$F$13,B1452)+Control!$B$16)*Control!$B$14))*INDEX(TrackMap!$M$8:$M$141,MOD(INT(D1452)-1,Control!$B$7)+1)*IF(E1452="BOOST",Control!$B$12,1)))</x:f>
        <x:v>0</x:v>
      </x:c>
      <x:c r="G1452" s="83" t="n">
        <x:f>IF(A1452=0,D1452,MIN(Control!$B$17,D1452+F1452))</x:f>
        <x:v>670</x:v>
      </x:c>
      <x:c r="H1452" s="73" t="n">
        <x:f>MOD(INT(G1452)-1,Control!$B$7)+1</x:f>
        <x:v>134</x:v>
      </x:c>
      <x:c r="I1452" s="73" t="n">
        <x:f>MIN(Control!$B$6,MAX(1,INT(MAX(0,G1452)/Control!$B$7)+1))</x:f>
        <x:v>5</x:v>
      </x:c>
      <x:c r="J1452" s="73" t="n">
        <x:f>INDEX(Drivers!$H$8:$H$13,B1452)</x:f>
        <x:v>1</x:v>
      </x:c>
      <x:c r="K1452" s="73" t="n">
        <x:f>IF(J1452=1,INDEX(TrackMap!$I$8:$I$141,H1452),INDEX(TrackMap!$L$8:$L$141,H1452))</x:f>
        <x:v>3117</x:v>
      </x:c>
      <x:c r="L1452" s="73" t="str">
        <x:f>INDEX(TrackMap!$F$8:$F$141,H1452)</x:f>
        <x:v>←</x:v>
      </x:c>
      <x:c r="M1452" s="87" t="n">
        <x:f>MAX(0,G1452/Control!$B$17)</x:f>
        <x:v>1</x:v>
      </x:c>
      <x:c r="N1452" s="73" t="n">
        <x:f>IF(N1446&gt;0,N1446,IF(G1452&gt;=Control!$B$17,A1452,0))</x:f>
        <x:v>195</x:v>
      </x:c>
      <x:c r="O1452" s="91" t="n">
        <x:f>IF(N1452&gt;0,Control!$B$17+Control!$B$8+1-N1452,G1452)-B1452/100000</x:f>
        <x:v>715.99995</x:v>
      </x:c>
      <x:c r="P1452" s="73" t="n">
        <x:f>COUNTIF($O$1448:$O$1453,"&gt;"&amp;O1452)+1</x:f>
        <x:v>3</x:v>
      </x:c>
      <x:c r="Q1452" s="83" t="n">
        <x:f>MAX($G$1448:$G$1453)-G1452</x:f>
        <x:v>0</x:v>
      </x:c>
      <x:c r="R1452" s="73" t="str">
        <x:f>INDEX(TrackMap!$B$8:$B$141,H1452)</x:f>
        <x:v>发车大直道</x:v>
      </x:c>
    </x:row>
    <x:row r="1453" ht="20" customHeight="1">
      <x:c r="A1453" s="73" t="n">
        <x:v>240</x:v>
      </x:c>
      <x:c r="B1453" s="73" t="n">
        <x:v>6</x:v>
      </x:c>
      <x:c r="C1453" s="73" t="str">
        <x:f>INDEX(Drivers!$B$8:$B$13,B1453)</x:f>
        <x:v>玫速</x:v>
      </x:c>
      <x:c r="D1453" s="83" t="n">
        <x:f>G1447</x:f>
        <x:v>670</x:v>
      </x:c>
      <x:c r="E1453" s="83" t="str">
        <x:f>IF(A1453=0,"GRID",IF(D1453&gt;=Control!$B$17,"FINISHED",IF(AND(A1453&gt;=INDEX(Drivers!$G$8:$G$13,B1453),A1453&lt;INDEX(Drivers!$G$8:$G$13,B1453)+INDEX(Drivers!$J$8:$J$13,B1453)),"PIT",IF(MOD(A1453+INDEX(Drivers!$F$8:$F$13,B1453),Control!$B$11)&lt;Control!$B$13,"BOOST","RACE"))))</x:f>
        <x:v>FINISHED</x:v>
      </x:c>
      <x:c r="F1453" s="83" t="n">
        <x:f>IF(OR(E1453="GRID",E1453="FINISHED",E1453="PIT"),0,MAX(Control!$B$15,(INDEX(Drivers!$D$8:$D$13,B1453)+INDEX(Drivers!$E$8:$E$13,B1453)*SIN((A1453+INDEX(Drivers!$F$8:$F$13,B1453)+Control!$B$16)*Control!$B$14))*INDEX(TrackMap!$M$8:$M$141,MOD(INT(D1453)-1,Control!$B$7)+1)*IF(E1453="BOOST",Control!$B$12,1)))</x:f>
        <x:v>0</x:v>
      </x:c>
      <x:c r="G1453" s="83" t="n">
        <x:f>IF(A1453=0,D1453,MIN(Control!$B$17,D1453+F1453))</x:f>
        <x:v>670</x:v>
      </x:c>
      <x:c r="H1453" s="73" t="n">
        <x:f>MOD(INT(G1453)-1,Control!$B$7)+1</x:f>
        <x:v>134</x:v>
      </x:c>
      <x:c r="I1453" s="73" t="n">
        <x:f>MIN(Control!$B$6,MAX(1,INT(MAX(0,G1453)/Control!$B$7)+1))</x:f>
        <x:v>5</x:v>
      </x:c>
      <x:c r="J1453" s="73" t="n">
        <x:f>INDEX(Drivers!$H$8:$H$13,B1453)</x:f>
        <x:v>2</x:v>
      </x:c>
      <x:c r="K1453" s="73" t="n">
        <x:f>IF(J1453=1,INDEX(TrackMap!$I$8:$I$141,H1453),INDEX(TrackMap!$L$8:$L$141,H1453))</x:f>
        <x:v>3017</x:v>
      </x:c>
      <x:c r="L1453" s="73" t="str">
        <x:f>INDEX(TrackMap!$F$8:$F$141,H1453)</x:f>
        <x:v>←</x:v>
      </x:c>
      <x:c r="M1453" s="87" t="n">
        <x:f>MAX(0,G1453/Control!$B$17)</x:f>
        <x:v>1</x:v>
      </x:c>
      <x:c r="N1453" s="73" t="n">
        <x:f>IF(N1447&gt;0,N1447,IF(G1453&gt;=Control!$B$17,A1453,0))</x:f>
        <x:v>196</x:v>
      </x:c>
      <x:c r="O1453" s="91" t="n">
        <x:f>IF(N1453&gt;0,Control!$B$17+Control!$B$8+1-N1453,G1453)-B1453/100000</x:f>
        <x:v>714.99994</x:v>
      </x:c>
      <x:c r="P1453" s="73" t="n">
        <x:f>COUNTIF($O$1448:$O$1453,"&gt;"&amp;O1453)+1</x:f>
        <x:v>4</x:v>
      </x:c>
      <x:c r="Q1453" s="83" t="n">
        <x:f>MAX($G$1448:$G$1453)-G1453</x:f>
        <x:v>0</x:v>
      </x:c>
      <x:c r="R1453" s="73" t="str">
        <x:f>INDEX(TrackMap!$B$8:$B$141,H1453)</x:f>
        <x:v>发车大直道</x:v>
      </x:c>
    </x:row>
  </x:sheetData>
  <x:mergeCells>
    <x:mergeCell ref="A1:R2"/>
    <x:mergeCell ref="A3:R4"/>
  </x:mergeCells>
  <x:conditionalFormatting sqref="E8:E1453">
    <x:cfRule type="expression" dxfId="0" priority="1">
      <x:formula>E8="BOOST"</x:formula>
    </x:cfRule>
    <x:cfRule type="expression" dxfId="1" priority="2">
      <x:formula>E8="PIT"</x:formula>
    </x:cfRule>
  </x:conditionalFormatting>
  <x:conditionalFormatting sqref="M8:M1453">
    <x:cfRule type="dataBar" priority="3">
      <x:dataBar>
        <x:cfvo type="min"/>
        <x:cfvo type="max"/>
        <x:color rgb="FF2E998C"/>
      </x:dataBar>
      <x:extLst>
        <x:ext xmlns:x14="http://schemas.microsoft.com/office/spreadsheetml/2009/9/main" uri="{B025F937-C7B1-47D3-B67F-A62EFF666E3E}">
          <x14:id>{07731F96-B2A7-A3B1-D8BA-FDACEDCB2F26}</x14:id>
        </x:ext>
      </x:extLst>
    </x:cfRule>
  </x:conditionalFormatting>
  <x:pageMargins left="0.7" right="0.7" top="0.75" bottom="0.75" header="0.3" footer="0.3"/>
  <x:tableParts count="1">
    <x:tablePart xmlns:r="http://schemas.openxmlformats.org/officeDocument/2006/relationships" r:id="R1565e6663daa4eec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3" id="{07731F96-B2A7-A3B1-D8BA-FDACEDCB2F26}">
            <x14:dataBar gradient="1">
              <x14:cfvo type="min"/>
              <x14:cfvo type="max"/>
              <x14:fillColor rgb="FF2E998C"/>
            </x14:dataBar>
          </x14:cfRule>
          <xm:sqref>M8:M1453</xm:sqref>
        </x14:conditionalFormatting>
      </x14:conditionalFormattings>
    </x:ext>
  </x:extLst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</x:cols>
  <x:sheetData>
    <x:row r="1" ht="21" customHeight="1">
      <x:c r="A1" s="8" t="str">
        <x:v>LIVE TIMING  /  实时计算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21" customHeight="1">
      <x:c r="A2" s="6"/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</x:row>
    <x:row r="3" ht="21" customHeight="1">
      <x:c r="A3" s="10" t="str">
        <x:v>从 RaceData 提取当前帧；不把排名或车辆位置写死。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</x:row>
    <x:row r="4" ht="21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</x:row>
    <x:row r="5" ht="21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</x:row>
    <x:row r="6" ht="21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</x:row>
    <x:row r="7" ht="34" customHeight="1">
      <x:c r="A7" s="38" t="str">
        <x:v>帧</x:v>
      </x:c>
      <x:c r="B7" s="38" t="str">
        <x:v>车号</x:v>
      </x:c>
      <x:c r="C7" s="38" t="str">
        <x:v>车手</x:v>
      </x:c>
      <x:c r="D7" s="38" t="str">
        <x:v>上帧累计/格</x:v>
      </x:c>
      <x:c r="E7" s="38" t="str">
        <x:v>事件</x:v>
      </x:c>
      <x:c r="F7" s="38" t="str">
        <x:v>本帧步长/格</x:v>
      </x:c>
      <x:c r="G7" s="38" t="str">
        <x:v>累计路程/格</x:v>
      </x:c>
      <x:c r="H7" s="38" t="str">
        <x:v>赛道格号</x:v>
      </x:c>
      <x:c r="I7" s="38" t="str">
        <x:v>当前圈</x:v>
      </x:c>
      <x:c r="J7" s="38" t="str">
        <x:v>车道</x:v>
      </x:c>
      <x:c r="K7" s="38" t="str">
        <x:v>显示坐标键</x:v>
      </x:c>
      <x:c r="L7" s="38" t="str">
        <x:v>方向</x:v>
      </x:c>
      <x:c r="M7" s="38" t="str">
        <x:v>完赛进度</x:v>
      </x:c>
      <x:c r="N7" s="38" t="str">
        <x:v>首次完赛帧</x:v>
      </x:c>
      <x:c r="O7" s="38" t="str">
        <x:v>排序分值</x:v>
      </x:c>
      <x:c r="P7" s="38" t="str">
        <x:v>当前排名</x:v>
      </x:c>
      <x:c r="Q7" s="38" t="str">
        <x:v>距领跑/格</x:v>
      </x:c>
      <x:c r="R7" s="38" t="str">
        <x:v>当前区段</x:v>
      </x:c>
      <x:c r="S7" s="96" t="str">
        <x:v>画面坐标键</x:v>
      </x:c>
      <x:c r="T7" s="96" t="str">
        <x:v>显示字符</x:v>
      </x:c>
    </x:row>
    <x:row r="8" ht="27" customHeight="1">
      <x:c r="A8" s="3" t="n">
        <x:f>INDEX(RaceData!$A$8:$A$1453,Control!$B$4*Control!$B$18+1)</x:f>
        <x:v>119</x:v>
      </x:c>
      <x:c r="B8" s="3" t="n">
        <x:f>INDEX(RaceData!$B$8:$B$1453,Control!$B$4*Control!$B$18+1)</x:f>
        <x:v>1</x:v>
      </x:c>
      <x:c r="C8" s="3" t="str">
        <x:f>INDEX(RaceData!$C$8:$C$1453,Control!$B$4*Control!$B$18+1)</x:f>
        <x:v>赤焰</x:v>
      </x:c>
      <x:c r="D8" s="100" t="n">
        <x:f>INDEX(RaceData!$D$8:$D$1453,Control!$B$4*Control!$B$18+1)</x:f>
        <x:v>401.2698000615525</x:v>
      </x:c>
      <x:c r="E8" s="100" t="str">
        <x:f>INDEX(RaceData!$E$8:$E$1453,Control!$B$4*Control!$B$18+1)</x:f>
        <x:v>RACE</x:v>
      </x:c>
      <x:c r="F8" s="100" t="n">
        <x:f>INDEX(RaceData!$F$8:$F$1453,Control!$B$4*Control!$B$18+1)</x:f>
        <x:v>2.473710760318508</x:v>
      </x:c>
      <x:c r="G8" s="100" t="n">
        <x:f>INDEX(RaceData!$G$8:$G$1453,Control!$B$4*Control!$B$18+1)</x:f>
        <x:v>403.743510821871</x:v>
      </x:c>
      <x:c r="H8" s="3" t="n">
        <x:f>INDEX(RaceData!$H$8:$H$1453,Control!$B$4*Control!$B$18+1)</x:f>
        <x:v>1</x:v>
      </x:c>
      <x:c r="I8" s="3" t="n">
        <x:f>INDEX(RaceData!$I$8:$I$1453,Control!$B$4*Control!$B$18+1)</x:f>
        <x:v>4</x:v>
      </x:c>
      <x:c r="J8" s="3" t="n">
        <x:f>INDEX(RaceData!$J$8:$J$1453,Control!$B$4*Control!$B$18+1)</x:f>
        <x:v>1</x:v>
      </x:c>
      <x:c r="K8" s="3" t="n">
        <x:f>INDEX(RaceData!$K$8:$K$1453,Control!$B$4*Control!$B$18+1)</x:f>
        <x:v>3116</x:v>
      </x:c>
      <x:c r="L8" s="3" t="str">
        <x:f>INDEX(RaceData!$L$8:$L$1453,Control!$B$4*Control!$B$18+1)</x:f>
        <x:v>←</x:v>
      </x:c>
      <x:c r="M8" s="102" t="n">
        <x:f>INDEX(RaceData!$M$8:$M$1453,Control!$B$4*Control!$B$18+1)</x:f>
        <x:v>0.6026022549580164</x:v>
      </x:c>
      <x:c r="N8" s="3" t="n">
        <x:f>INDEX(RaceData!$N$8:$N$1453,Control!$B$4*Control!$B$18+1)</x:f>
        <x:v>0</x:v>
      </x:c>
      <x:c r="O8" s="3" t="n">
        <x:f>INDEX(RaceData!$O$8:$O$1453,Control!$B$4*Control!$B$18+1)</x:f>
        <x:v>403.743500821871</x:v>
      </x:c>
      <x:c r="P8" s="3" t="n">
        <x:f>INDEX(RaceData!$P$8:$P$1453,Control!$B$4*Control!$B$18+1)</x:f>
        <x:v>4</x:v>
      </x:c>
      <x:c r="Q8" s="100" t="n">
        <x:f>INDEX(RaceData!$Q$8:$Q$1453,Control!$B$4*Control!$B$18+1)</x:f>
        <x:v>17.2332156419144</x:v>
      </x:c>
      <x:c r="R8" s="3" t="str">
        <x:f>INDEX(RaceData!$R$8:$R$1453,Control!$B$4*Control!$B$18+1)</x:f>
        <x:v>发车大直道</x:v>
      </x:c>
      <x:c r="S8" t="n">
        <x:f>IF(N8&gt;0,2318,K8)</x:f>
        <x:v>3116</x:v>
      </x:c>
      <x:c r="T8" t="str">
        <x:f>IF(N8&gt;0,"■"&amp;B8,L8&amp;B8)</x:f>
        <x:v>←1</x:v>
      </x:c>
    </x:row>
    <x:row r="9" ht="27" customHeight="1">
      <x:c r="A9" s="3" t="n">
        <x:f>INDEX(RaceData!$A$8:$A$1453,Control!$B$4*Control!$B$18+2)</x:f>
        <x:v>119</x:v>
      </x:c>
      <x:c r="B9" s="3" t="n">
        <x:f>INDEX(RaceData!$B$8:$B$1453,Control!$B$4*Control!$B$18+2)</x:f>
        <x:v>2</x:v>
      </x:c>
      <x:c r="C9" s="3" t="str">
        <x:f>INDEX(RaceData!$C$8:$C$1453,Control!$B$4*Control!$B$18+2)</x:f>
        <x:v>蓝电</x:v>
      </x:c>
      <x:c r="D9" s="100" t="n">
        <x:f>INDEX(RaceData!$D$8:$D$1453,Control!$B$4*Control!$B$18+2)</x:f>
        <x:v>388.48289750270817</x:v>
      </x:c>
      <x:c r="E9" s="100" t="str">
        <x:f>INDEX(RaceData!$E$8:$E$1453,Control!$B$4*Control!$B$18+2)</x:f>
        <x:v>RACE</x:v>
      </x:c>
      <x:c r="F9" s="100" t="n">
        <x:f>INDEX(RaceData!$F$8:$F$1453,Control!$B$4*Control!$B$18+2)</x:f>
        <x:v>4.179605198248787</x:v>
      </x:c>
      <x:c r="G9" s="100" t="n">
        <x:f>INDEX(RaceData!$G$8:$G$1453,Control!$B$4*Control!$B$18+2)</x:f>
        <x:v>392.66250270095696</x:v>
      </x:c>
      <x:c r="H9" s="3" t="n">
        <x:f>INDEX(RaceData!$H$8:$H$1453,Control!$B$4*Control!$B$18+2)</x:f>
        <x:v>124</x:v>
      </x:c>
      <x:c r="I9" s="3" t="n">
        <x:f>INDEX(RaceData!$I$8:$I$1453,Control!$B$4*Control!$B$18+2)</x:f>
        <x:v>3</x:v>
      </x:c>
      <x:c r="J9" s="3" t="n">
        <x:f>INDEX(RaceData!$J$8:$J$1453,Control!$B$4*Control!$B$18+2)</x:f>
        <x:v>2</x:v>
      </x:c>
      <x:c r="K9" s="3" t="n">
        <x:f>INDEX(RaceData!$K$8:$K$1453,Control!$B$4*Control!$B$18+2)</x:f>
        <x:v>3027</x:v>
      </x:c>
      <x:c r="L9" s="3" t="str">
        <x:f>INDEX(RaceData!$L$8:$L$1453,Control!$B$4*Control!$B$18+2)</x:f>
        <x:v>←</x:v>
      </x:c>
      <x:c r="M9" s="102" t="n">
        <x:f>INDEX(RaceData!$M$8:$M$1453,Control!$B$4*Control!$B$18+2)</x:f>
        <x:v>0.5860634368670999</x:v>
      </x:c>
      <x:c r="N9" s="3" t="n">
        <x:f>INDEX(RaceData!$N$8:$N$1453,Control!$B$4*Control!$B$18+2)</x:f>
        <x:v>0</x:v>
      </x:c>
      <x:c r="O9" s="3" t="n">
        <x:f>INDEX(RaceData!$O$8:$O$1453,Control!$B$4*Control!$B$18+2)</x:f>
        <x:v>392.66248270095696</x:v>
      </x:c>
      <x:c r="P9" s="3" t="n">
        <x:f>INDEX(RaceData!$P$8:$P$1453,Control!$B$4*Control!$B$18+2)</x:f>
        <x:v>6</x:v>
      </x:c>
      <x:c r="Q9" s="100" t="n">
        <x:f>INDEX(RaceData!$Q$8:$Q$1453,Control!$B$4*Control!$B$18+2)</x:f>
        <x:v>28.31422376282842</x:v>
      </x:c>
      <x:c r="R9" s="3" t="str">
        <x:f>INDEX(RaceData!$R$8:$R$1453,Control!$B$4*Control!$B$18+2)</x:f>
        <x:v>发车大直道</x:v>
      </x:c>
      <x:c r="S9" t="n">
        <x:f>IF(N9&gt;0,2323,K9)</x:f>
        <x:v>3027</x:v>
      </x:c>
      <x:c r="T9" t="str">
        <x:f>IF(N9&gt;0,"■"&amp;B9,L9&amp;B9)</x:f>
        <x:v>←2</x:v>
      </x:c>
    </x:row>
    <x:row r="10" ht="27" customHeight="1">
      <x:c r="A10" s="3" t="n">
        <x:f>INDEX(RaceData!$A$8:$A$1453,Control!$B$4*Control!$B$18+3)</x:f>
        <x:v>119</x:v>
      </x:c>
      <x:c r="B10" s="3" t="n">
        <x:f>INDEX(RaceData!$B$8:$B$1453,Control!$B$4*Control!$B$18+3)</x:f>
        <x:v>3</x:v>
      </x:c>
      <x:c r="C10" s="3" t="str">
        <x:f>INDEX(RaceData!$C$8:$C$1453,Control!$B$4*Control!$B$18+3)</x:f>
        <x:v>金翼</x:v>
      </x:c>
      <x:c r="D10" s="100" t="n">
        <x:f>INDEX(RaceData!$D$8:$D$1453,Control!$B$4*Control!$B$18+3)</x:f>
        <x:v>418.4152544512707</x:v>
      </x:c>
      <x:c r="E10" s="100" t="str">
        <x:f>INDEX(RaceData!$E$8:$E$1453,Control!$B$4*Control!$B$18+3)</x:f>
        <x:v>RACE</x:v>
      </x:c>
      <x:c r="F10" s="100" t="n">
        <x:f>INDEX(RaceData!$F$8:$F$1453,Control!$B$4*Control!$B$18+3)</x:f>
        <x:v>2.5614720125146597</x:v>
      </x:c>
      <x:c r="G10" s="100" t="n">
        <x:f>INDEX(RaceData!$G$8:$G$1453,Control!$B$4*Control!$B$18+3)</x:f>
        <x:v>420.9767264637854</x:v>
      </x:c>
      <x:c r="H10" s="3" t="n">
        <x:f>INDEX(RaceData!$H$8:$H$1453,Control!$B$4*Control!$B$18+3)</x:f>
        <x:v>18</x:v>
      </x:c>
      <x:c r="I10" s="3" t="n">
        <x:f>INDEX(RaceData!$I$8:$I$1453,Control!$B$4*Control!$B$18+3)</x:f>
        <x:v>4</x:v>
      </x:c>
      <x:c r="J10" s="3" t="n">
        <x:f>INDEX(RaceData!$J$8:$J$1453,Control!$B$4*Control!$B$18+3)</x:f>
        <x:v>1</x:v>
      </x:c>
      <x:c r="K10" s="3" t="n">
        <x:f>INDEX(RaceData!$K$8:$K$1453,Control!$B$4*Control!$B$18+3)</x:f>
        <x:v>2403</x:v>
      </x:c>
      <x:c r="L10" s="3" t="str">
        <x:f>INDEX(RaceData!$L$8:$L$1453,Control!$B$4*Control!$B$18+3)</x:f>
        <x:v>↑</x:v>
      </x:c>
      <x:c r="M10" s="102" t="n">
        <x:f>INDEX(RaceData!$M$8:$M$1453,Control!$B$4*Control!$B$18+3)</x:f>
        <x:v>0.628323472334008</x:v>
      </x:c>
      <x:c r="N10" s="3" t="n">
        <x:f>INDEX(RaceData!$N$8:$N$1453,Control!$B$4*Control!$B$18+3)</x:f>
        <x:v>0</x:v>
      </x:c>
      <x:c r="O10" s="3" t="n">
        <x:f>INDEX(RaceData!$O$8:$O$1453,Control!$B$4*Control!$B$18+3)</x:f>
        <x:v>420.9766964637854</x:v>
      </x:c>
      <x:c r="P10" s="3" t="n">
        <x:f>INDEX(RaceData!$P$8:$P$1453,Control!$B$4*Control!$B$18+3)</x:f>
        <x:v>1</x:v>
      </x:c>
      <x:c r="Q10" s="100" t="n">
        <x:f>INDEX(RaceData!$Q$8:$Q$1453,Control!$B$4*Control!$B$18+3)</x:f>
        <x:v>0</x:v>
      </x:c>
      <x:c r="R10" s="3" t="str">
        <x:f>INDEX(RaceData!$R$8:$R$1453,Control!$B$4*Control!$B$18+3)</x:f>
        <x:v>西侧回弯</x:v>
      </x:c>
      <x:c r="S10" t="n">
        <x:f>IF(N10&gt;0,2328,K10)</x:f>
        <x:v>2403</x:v>
      </x:c>
      <x:c r="T10" t="str">
        <x:f>IF(N10&gt;0,"■"&amp;B10,L10&amp;B10)</x:f>
        <x:v>↑3</x:v>
      </x:c>
    </x:row>
    <x:row r="11" ht="27" customHeight="1">
      <x:c r="A11" s="3" t="n">
        <x:f>INDEX(RaceData!$A$8:$A$1453,Control!$B$4*Control!$B$18+4)</x:f>
        <x:v>119</x:v>
      </x:c>
      <x:c r="B11" s="3" t="n">
        <x:f>INDEX(RaceData!$B$8:$B$1453,Control!$B$4*Control!$B$18+4)</x:f>
        <x:v>4</x:v>
      </x:c>
      <x:c r="C11" s="3" t="str">
        <x:f>INDEX(RaceData!$C$8:$C$1453,Control!$B$4*Control!$B$18+4)</x:f>
        <x:v>紫影</x:v>
      </x:c>
      <x:c r="D11" s="100" t="n">
        <x:f>INDEX(RaceData!$D$8:$D$1453,Control!$B$4*Control!$B$18+4)</x:f>
        <x:v>391.7321210709785</x:v>
      </x:c>
      <x:c r="E11" s="100" t="str">
        <x:f>INDEX(RaceData!$E$8:$E$1453,Control!$B$4*Control!$B$18+4)</x:f>
        <x:v>RACE</x:v>
      </x:c>
      <x:c r="F11" s="100" t="n">
        <x:f>INDEX(RaceData!$F$8:$F$1453,Control!$B$4*Control!$B$18+4)</x:f>
        <x:v>3.8424872053088617</x:v>
      </x:c>
      <x:c r="G11" s="100" t="n">
        <x:f>INDEX(RaceData!$G$8:$G$1453,Control!$B$4*Control!$B$18+4)</x:f>
        <x:v>395.5746082762874</x:v>
      </x:c>
      <x:c r="H11" s="3" t="n">
        <x:f>INDEX(RaceData!$H$8:$H$1453,Control!$B$4*Control!$B$18+4)</x:f>
        <x:v>127</x:v>
      </x:c>
      <x:c r="I11" s="3" t="n">
        <x:f>INDEX(RaceData!$I$8:$I$1453,Control!$B$4*Control!$B$18+4)</x:f>
        <x:v>3</x:v>
      </x:c>
      <x:c r="J11" s="3" t="n">
        <x:f>INDEX(RaceData!$J$8:$J$1453,Control!$B$4*Control!$B$18+4)</x:f>
        <x:v>2</x:v>
      </x:c>
      <x:c r="K11" s="3" t="n">
        <x:f>INDEX(RaceData!$K$8:$K$1453,Control!$B$4*Control!$B$18+4)</x:f>
        <x:v>3024</x:v>
      </x:c>
      <x:c r="L11" s="3" t="str">
        <x:f>INDEX(RaceData!$L$8:$L$1453,Control!$B$4*Control!$B$18+4)</x:f>
        <x:v>←</x:v>
      </x:c>
      <x:c r="M11" s="102" t="n">
        <x:f>INDEX(RaceData!$M$8:$M$1453,Control!$B$4*Control!$B$18+4)</x:f>
        <x:v>0.5904098630989364</x:v>
      </x:c>
      <x:c r="N11" s="3" t="n">
        <x:f>INDEX(RaceData!$N$8:$N$1453,Control!$B$4*Control!$B$18+4)</x:f>
        <x:v>0</x:v>
      </x:c>
      <x:c r="O11" s="3" t="n">
        <x:f>INDEX(RaceData!$O$8:$O$1453,Control!$B$4*Control!$B$18+4)</x:f>
        <x:v>395.5745682762874</x:v>
      </x:c>
      <x:c r="P11" s="3" t="n">
        <x:f>INDEX(RaceData!$P$8:$P$1453,Control!$B$4*Control!$B$18+4)</x:f>
        <x:v>5</x:v>
      </x:c>
      <x:c r="Q11" s="100" t="n">
        <x:f>INDEX(RaceData!$Q$8:$Q$1453,Control!$B$4*Control!$B$18+4)</x:f>
        <x:v>25.40211818749799</x:v>
      </x:c>
      <x:c r="R11" s="3" t="str">
        <x:f>INDEX(RaceData!$R$8:$R$1453,Control!$B$4*Control!$B$18+4)</x:f>
        <x:v>发车大直道</x:v>
      </x:c>
      <x:c r="S11" t="n">
        <x:f>IF(N11&gt;0,2333,K11)</x:f>
        <x:v>3024</x:v>
      </x:c>
      <x:c r="T11" t="str">
        <x:f>IF(N11&gt;0,"■"&amp;B11,L11&amp;B11)</x:f>
        <x:v>←4</x:v>
      </x:c>
    </x:row>
    <x:row r="12" ht="27" customHeight="1">
      <x:c r="A12" s="3" t="n">
        <x:f>INDEX(RaceData!$A$8:$A$1453,Control!$B$4*Control!$B$18+5)</x:f>
        <x:v>119</x:v>
      </x:c>
      <x:c r="B12" s="3" t="n">
        <x:f>INDEX(RaceData!$B$8:$B$1453,Control!$B$4*Control!$B$18+5)</x:f>
        <x:v>5</x:v>
      </x:c>
      <x:c r="C12" s="3" t="str">
        <x:f>INDEX(RaceData!$C$8:$C$1453,Control!$B$4*Control!$B$18+5)</x:f>
        <x:v>青锋</x:v>
      </x:c>
      <x:c r="D12" s="100" t="n">
        <x:f>INDEX(RaceData!$D$8:$D$1453,Control!$B$4*Control!$B$18+5)</x:f>
        <x:v>407.08639018586075</x:v>
      </x:c>
      <x:c r="E12" s="100" t="str">
        <x:f>INDEX(RaceData!$E$8:$E$1453,Control!$B$4*Control!$B$18+5)</x:f>
        <x:v>BOOST</x:v>
      </x:c>
      <x:c r="F12" s="100" t="n">
        <x:f>INDEX(RaceData!$F$8:$F$1453,Control!$B$4*Control!$B$18+5)</x:f>
        <x:v>5.189640599845904</x:v>
      </x:c>
      <x:c r="G12" s="100" t="n">
        <x:f>INDEX(RaceData!$G$8:$G$1453,Control!$B$4*Control!$B$18+5)</x:f>
        <x:v>412.27603078570667</x:v>
      </x:c>
      <x:c r="H12" s="3" t="n">
        <x:f>INDEX(RaceData!$H$8:$H$1453,Control!$B$4*Control!$B$18+5)</x:f>
        <x:v>10</x:v>
      </x:c>
      <x:c r="I12" s="3" t="n">
        <x:f>INDEX(RaceData!$I$8:$I$1453,Control!$B$4*Control!$B$18+5)</x:f>
        <x:v>4</x:v>
      </x:c>
      <x:c r="J12" s="3" t="n">
        <x:f>INDEX(RaceData!$J$8:$J$1453,Control!$B$4*Control!$B$18+5)</x:f>
        <x:v>1</x:v>
      </x:c>
      <x:c r="K12" s="3" t="n">
        <x:f>INDEX(RaceData!$K$8:$K$1453,Control!$B$4*Control!$B$18+5)</x:f>
        <x:v>3107</x:v>
      </x:c>
      <x:c r="L12" s="3" t="str">
        <x:f>INDEX(RaceData!$L$8:$L$1453,Control!$B$4*Control!$B$18+5)</x:f>
        <x:v>←</x:v>
      </x:c>
      <x:c r="M12" s="102" t="n">
        <x:f>INDEX(RaceData!$M$8:$M$1453,Control!$B$4*Control!$B$18+5)</x:f>
        <x:v>0.6153373593816518</x:v>
      </x:c>
      <x:c r="N12" s="3" t="n">
        <x:f>INDEX(RaceData!$N$8:$N$1453,Control!$B$4*Control!$B$18+5)</x:f>
        <x:v>0</x:v>
      </x:c>
      <x:c r="O12" s="3" t="n">
        <x:f>INDEX(RaceData!$O$8:$O$1453,Control!$B$4*Control!$B$18+5)</x:f>
        <x:v>412.2759807857067</x:v>
      </x:c>
      <x:c r="P12" s="3" t="n">
        <x:f>INDEX(RaceData!$P$8:$P$1453,Control!$B$4*Control!$B$18+5)</x:f>
        <x:v>3</x:v>
      </x:c>
      <x:c r="Q12" s="100" t="n">
        <x:f>INDEX(RaceData!$Q$8:$Q$1453,Control!$B$4*Control!$B$18+5)</x:f>
        <x:v>8.700695678078716</x:v>
      </x:c>
      <x:c r="R12" s="3" t="str">
        <x:f>INDEX(RaceData!$R$8:$R$1453,Control!$B$4*Control!$B$18+5)</x:f>
        <x:v>发车大直道</x:v>
      </x:c>
      <x:c r="S12" t="n">
        <x:f>IF(N12&gt;0,2338,K12)</x:f>
        <x:v>3107</x:v>
      </x:c>
      <x:c r="T12" t="str">
        <x:f>IF(N12&gt;0,"■"&amp;B12,L12&amp;B12)</x:f>
        <x:v>←5</x:v>
      </x:c>
    </x:row>
    <x:row r="13" ht="27" customHeight="1">
      <x:c r="A13" s="3" t="n">
        <x:f>INDEX(RaceData!$A$8:$A$1453,Control!$B$4*Control!$B$18+6)</x:f>
        <x:v>119</x:v>
      </x:c>
      <x:c r="B13" s="3" t="n">
        <x:f>INDEX(RaceData!$B$8:$B$1453,Control!$B$4*Control!$B$18+6)</x:f>
        <x:v>6</x:v>
      </x:c>
      <x:c r="C13" s="3" t="str">
        <x:f>INDEX(RaceData!$C$8:$C$1453,Control!$B$4*Control!$B$18+6)</x:f>
        <x:v>玫速</x:v>
      </x:c>
      <x:c r="D13" s="100" t="n">
        <x:f>INDEX(RaceData!$D$8:$D$1453,Control!$B$4*Control!$B$18+6)</x:f>
        <x:v>414.536552997458</x:v>
      </x:c>
      <x:c r="E13" s="100" t="str">
        <x:f>INDEX(RaceData!$E$8:$E$1453,Control!$B$4*Control!$B$18+6)</x:f>
        <x:v>RACE</x:v>
      </x:c>
      <x:c r="F13" s="100" t="n">
        <x:f>INDEX(RaceData!$F$8:$F$1453,Control!$B$4*Control!$B$18+6)</x:f>
        <x:v>2.9297112236171587</x:v>
      </x:c>
      <x:c r="G13" s="100" t="n">
        <x:f>INDEX(RaceData!$G$8:$G$1453,Control!$B$4*Control!$B$18+6)</x:f>
        <x:v>417.46626422107516</x:v>
      </x:c>
      <x:c r="H13" s="3" t="n">
        <x:f>INDEX(RaceData!$H$8:$H$1453,Control!$B$4*Control!$B$18+6)</x:f>
        <x:v>15</x:v>
      </x:c>
      <x:c r="I13" s="3" t="n">
        <x:f>INDEX(RaceData!$I$8:$I$1453,Control!$B$4*Control!$B$18+6)</x:f>
        <x:v>4</x:v>
      </x:c>
      <x:c r="J13" s="3" t="n">
        <x:f>INDEX(RaceData!$J$8:$J$1453,Control!$B$4*Control!$B$18+6)</x:f>
        <x:v>2</x:v>
      </x:c>
      <x:c r="K13" s="3" t="n">
        <x:f>INDEX(RaceData!$K$8:$K$1453,Control!$B$4*Control!$B$18+6)</x:f>
        <x:v>2704</x:v>
      </x:c>
      <x:c r="L13" s="3" t="str">
        <x:f>INDEX(RaceData!$L$8:$L$1453,Control!$B$4*Control!$B$18+6)</x:f>
        <x:v>↑</x:v>
      </x:c>
      <x:c r="M13" s="102" t="n">
        <x:f>INDEX(RaceData!$M$8:$M$1453,Control!$B$4*Control!$B$18+6)</x:f>
        <x:v>0.6230839764493659</x:v>
      </x:c>
      <x:c r="N13" s="3" t="n">
        <x:f>INDEX(RaceData!$N$8:$N$1453,Control!$B$4*Control!$B$18+6)</x:f>
        <x:v>0</x:v>
      </x:c>
      <x:c r="O13" s="3" t="n">
        <x:f>INDEX(RaceData!$O$8:$O$1453,Control!$B$4*Control!$B$18+6)</x:f>
        <x:v>417.46620422107515</x:v>
      </x:c>
      <x:c r="P13" s="3" t="n">
        <x:f>INDEX(RaceData!$P$8:$P$1453,Control!$B$4*Control!$B$18+6)</x:f>
        <x:v>2</x:v>
      </x:c>
      <x:c r="Q13" s="100" t="n">
        <x:f>INDEX(RaceData!$Q$8:$Q$1453,Control!$B$4*Control!$B$18+6)</x:f>
        <x:v>3.5104622427102186</x:v>
      </x:c>
      <x:c r="R13" s="3" t="str">
        <x:f>INDEX(RaceData!$R$8:$R$1453,Control!$B$4*Control!$B$18+6)</x:f>
        <x:v>西侧回弯</x:v>
      </x:c>
      <x:c r="S13" t="n">
        <x:f>IF(N13&gt;0,2343,K13)</x:f>
        <x:v>2704</x:v>
      </x:c>
      <x:c r="T13" t="str">
        <x:f>IF(N13&gt;0,"■"&amp;B13,L13&amp;B13)</x:f>
        <x:v>↑6</x:v>
      </x:c>
    </x:row>
    <x:row r="14" ht="21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  <x:c r="M14" s="3"/>
      <x:c r="N14" s="3"/>
      <x:c r="O14" s="3"/>
      <x:c r="P14" s="3"/>
      <x:c r="Q14" s="3"/>
      <x:c r="R14" s="3"/>
    </x:row>
    <x:row r="15" ht="21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  <x:c r="Q15" s="3"/>
      <x:c r="R15" s="3"/>
    </x:row>
    <x:row r="16" ht="21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  <x:c r="R16" s="3"/>
    </x:row>
    <x:row r="17" ht="21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/>
      <x:c r="R17" s="3"/>
    </x:row>
    <x:row r="18" ht="32" customHeight="1">
      <x:c r="A18" s="38" t="str">
        <x:v>名次</x:v>
      </x:c>
      <x:c r="B18" s="38" t="str">
        <x:v>车号</x:v>
      </x:c>
      <x:c r="C18" s="38" t="str">
        <x:v>车手</x:v>
      </x:c>
      <x:c r="D18" s="38" t="str">
        <x:v>车队</x:v>
      </x:c>
      <x:c r="E18" s="38" t="str">
        <x:v>当前圈</x:v>
      </x:c>
      <x:c r="F18" s="38" t="str">
        <x:v>累计路程/格</x:v>
      </x:c>
      <x:c r="G18" s="38" t="str">
        <x:v>距领跑/格</x:v>
      </x:c>
      <x:c r="H18" s="38" t="str">
        <x:v>事件</x:v>
      </x:c>
      <x:c r="I18" s="38" t="str">
        <x:v>完赛进度</x:v>
      </x:c>
      <x:c r="J18" s="38" t="str">
        <x:v>完赛时刻/秒</x:v>
      </x:c>
      <x:c r="K18" s="3"/>
      <x:c r="L18" s="3"/>
      <x:c r="M18" s="3"/>
      <x:c r="N18" s="3"/>
      <x:c r="O18" s="3"/>
      <x:c r="P18" s="3"/>
      <x:c r="Q18" s="3"/>
      <x:c r="R18" s="3"/>
    </x:row>
    <x:row r="19" ht="28" customHeight="1">
      <x:c r="A19" s="3" t="n">
        <x:v>1</x:v>
      </x:c>
      <x:c r="B19" s="3" t="n">
        <x:f>INDEX($B$8:$B$13,MATCH(A19,$P$8:$P$13,0))</x:f>
        <x:v>3</x:v>
      </x:c>
      <x:c r="C19" s="3" t="str">
        <x:f>INDEX($C$8:$C$13,MATCH(A19,$P$8:$P$13,0))</x:f>
        <x:v>金翼</x:v>
      </x:c>
      <x:c r="D19" s="3" t="str">
        <x:f>INDEX(Drivers!$C$8:$C$13,B19)</x:f>
        <x:v>VELOCITY</x:v>
      </x:c>
      <x:c r="E19" s="3" t="n">
        <x:f>INDEX($I$8:$I$13,MATCH(A19,$P$8:$P$13,0))</x:f>
        <x:v>4</x:v>
      </x:c>
      <x:c r="F19" s="100" t="n">
        <x:f>INDEX($G$8:$G$13,MATCH(A19,$P$8:$P$13,0))</x:f>
        <x:v>420.9767264637854</x:v>
      </x:c>
      <x:c r="G19" s="100" t="n">
        <x:f>INDEX($Q$8:$Q$13,MATCH(A19,$P$8:$P$13,0))</x:f>
        <x:v>0</x:v>
      </x:c>
      <x:c r="H19" s="3" t="str">
        <x:f>IF(INDEX($N$8:$N$13,MATCH(A19,$P$8:$P$13,0))&gt;0,"FINISHED",INDEX($E$8:$E$13,MATCH(A19,$P$8:$P$13,0)))</x:f>
        <x:v>RACE</x:v>
      </x:c>
      <x:c r="I19" s="102" t="n">
        <x:f>INDEX($M$8:$M$13,MATCH(A19,$P$8:$P$13,0))</x:f>
        <x:v>0.628323472334008</x:v>
      </x:c>
      <x:c r="J19" s="104" t="str">
        <x:f>IF(INDEX($N$8:$N$13,MATCH(A19,$P$8:$P$13,0))=0,"",INDEX($N$8:$N$13,MATCH(A19,$P$8:$P$13,0))*Control!$B$5)</x:f>
      </x:c>
      <x:c r="K19" s="3"/>
      <x:c r="L19" s="3"/>
      <x:c r="M19" s="3"/>
      <x:c r="N19" s="3"/>
      <x:c r="O19" s="3"/>
      <x:c r="P19" s="3"/>
      <x:c r="Q19" s="3"/>
      <x:c r="R19" s="3"/>
    </x:row>
    <x:row r="20" ht="28" customHeight="1">
      <x:c r="A20" s="3" t="n">
        <x:v>2</x:v>
      </x:c>
      <x:c r="B20" s="3" t="n">
        <x:f>INDEX($B$8:$B$13,MATCH(A20,$P$8:$P$13,0))</x:f>
        <x:v>6</x:v>
      </x:c>
      <x:c r="C20" s="3" t="str">
        <x:f>INDEX($C$8:$C$13,MATCH(A20,$P$8:$P$13,0))</x:f>
        <x:v>玫速</x:v>
      </x:c>
      <x:c r="D20" s="3" t="str">
        <x:f>INDEX(Drivers!$C$8:$C$13,B20)</x:f>
        <x:v>PULSE</x:v>
      </x:c>
      <x:c r="E20" s="3" t="n">
        <x:f>INDEX($I$8:$I$13,MATCH(A20,$P$8:$P$13,0))</x:f>
        <x:v>4</x:v>
      </x:c>
      <x:c r="F20" s="100" t="n">
        <x:f>INDEX($G$8:$G$13,MATCH(A20,$P$8:$P$13,0))</x:f>
        <x:v>417.46626422107516</x:v>
      </x:c>
      <x:c r="G20" s="100" t="n">
        <x:f>INDEX($Q$8:$Q$13,MATCH(A20,$P$8:$P$13,0))</x:f>
        <x:v>3.5104622427102186</x:v>
      </x:c>
      <x:c r="H20" s="3" t="str">
        <x:f>IF(INDEX($N$8:$N$13,MATCH(A20,$P$8:$P$13,0))&gt;0,"FINISHED",INDEX($E$8:$E$13,MATCH(A20,$P$8:$P$13,0)))</x:f>
        <x:v>RACE</x:v>
      </x:c>
      <x:c r="I20" s="102" t="n">
        <x:f>INDEX($M$8:$M$13,MATCH(A20,$P$8:$P$13,0))</x:f>
        <x:v>0.6230839764493659</x:v>
      </x:c>
      <x:c r="J20" s="104" t="str">
        <x:f>IF(INDEX($N$8:$N$13,MATCH(A20,$P$8:$P$13,0))=0,"",INDEX($N$8:$N$13,MATCH(A20,$P$8:$P$13,0))*Control!$B$5)</x:f>
      </x:c>
      <x:c r="K20" s="3"/>
      <x:c r="L20" s="3"/>
      <x:c r="M20" s="3"/>
      <x:c r="N20" s="3"/>
      <x:c r="O20" s="3"/>
      <x:c r="P20" s="3"/>
      <x:c r="Q20" s="3"/>
      <x:c r="R20" s="3"/>
    </x:row>
    <x:row r="21" ht="28" customHeight="1">
      <x:c r="A21" s="3" t="n">
        <x:v>3</x:v>
      </x:c>
      <x:c r="B21" s="3" t="n">
        <x:f>INDEX($B$8:$B$13,MATCH(A21,$P$8:$P$13,0))</x:f>
        <x:v>5</x:v>
      </x:c>
      <x:c r="C21" s="3" t="str">
        <x:f>INDEX($C$8:$C$13,MATCH(A21,$P$8:$P$13,0))</x:f>
        <x:v>青锋</x:v>
      </x:c>
      <x:c r="D21" s="3" t="str">
        <x:f>INDEX(Drivers!$C$8:$C$13,B21)</x:f>
        <x:v>VECTOR</x:v>
      </x:c>
      <x:c r="E21" s="3" t="n">
        <x:f>INDEX($I$8:$I$13,MATCH(A21,$P$8:$P$13,0))</x:f>
        <x:v>4</x:v>
      </x:c>
      <x:c r="F21" s="100" t="n">
        <x:f>INDEX($G$8:$G$13,MATCH(A21,$P$8:$P$13,0))</x:f>
        <x:v>412.27603078570667</x:v>
      </x:c>
      <x:c r="G21" s="100" t="n">
        <x:f>INDEX($Q$8:$Q$13,MATCH(A21,$P$8:$P$13,0))</x:f>
        <x:v>8.700695678078716</x:v>
      </x:c>
      <x:c r="H21" s="3" t="str">
        <x:f>IF(INDEX($N$8:$N$13,MATCH(A21,$P$8:$P$13,0))&gt;0,"FINISHED",INDEX($E$8:$E$13,MATCH(A21,$P$8:$P$13,0)))</x:f>
        <x:v>BOOST</x:v>
      </x:c>
      <x:c r="I21" s="102" t="n">
        <x:f>INDEX($M$8:$M$13,MATCH(A21,$P$8:$P$13,0))</x:f>
        <x:v>0.6153373593816518</x:v>
      </x:c>
      <x:c r="J21" s="104" t="str">
        <x:f>IF(INDEX($N$8:$N$13,MATCH(A21,$P$8:$P$13,0))=0,"",INDEX($N$8:$N$13,MATCH(A21,$P$8:$P$13,0))*Control!$B$5)</x:f>
      </x:c>
      <x:c r="K21" s="3"/>
      <x:c r="L21" s="3"/>
      <x:c r="M21" s="3"/>
      <x:c r="N21" s="3"/>
      <x:c r="O21" s="3"/>
      <x:c r="P21" s="3"/>
      <x:c r="Q21" s="3"/>
      <x:c r="R21" s="3"/>
    </x:row>
    <x:row r="22" ht="28" customHeight="1">
      <x:c r="A22" s="3" t="n">
        <x:v>4</x:v>
      </x:c>
      <x:c r="B22" s="3" t="n">
        <x:f>INDEX($B$8:$B$13,MATCH(A22,$P$8:$P$13,0))</x:f>
        <x:v>1</x:v>
      </x:c>
      <x:c r="C22" s="3" t="str">
        <x:f>INDEX($C$8:$C$13,MATCH(A22,$P$8:$P$13,0))</x:f>
        <x:v>赤焰</x:v>
      </x:c>
      <x:c r="D22" s="3" t="str">
        <x:f>INDEX(Drivers!$C$8:$C$13,B22)</x:f>
        <x:v>REDLINE</x:v>
      </x:c>
      <x:c r="E22" s="3" t="n">
        <x:f>INDEX($I$8:$I$13,MATCH(A22,$P$8:$P$13,0))</x:f>
        <x:v>4</x:v>
      </x:c>
      <x:c r="F22" s="100" t="n">
        <x:f>INDEX($G$8:$G$13,MATCH(A22,$P$8:$P$13,0))</x:f>
        <x:v>403.743510821871</x:v>
      </x:c>
      <x:c r="G22" s="100" t="n">
        <x:f>INDEX($Q$8:$Q$13,MATCH(A22,$P$8:$P$13,0))</x:f>
        <x:v>17.2332156419144</x:v>
      </x:c>
      <x:c r="H22" s="3" t="str">
        <x:f>IF(INDEX($N$8:$N$13,MATCH(A22,$P$8:$P$13,0))&gt;0,"FINISHED",INDEX($E$8:$E$13,MATCH(A22,$P$8:$P$13,0)))</x:f>
        <x:v>RACE</x:v>
      </x:c>
      <x:c r="I22" s="102" t="n">
        <x:f>INDEX($M$8:$M$13,MATCH(A22,$P$8:$P$13,0))</x:f>
        <x:v>0.6026022549580164</x:v>
      </x:c>
      <x:c r="J22" s="104" t="str">
        <x:f>IF(INDEX($N$8:$N$13,MATCH(A22,$P$8:$P$13,0))=0,"",INDEX($N$8:$N$13,MATCH(A22,$P$8:$P$13,0))*Control!$B$5)</x:f>
      </x:c>
      <x:c r="K22" s="3"/>
      <x:c r="L22" s="3"/>
      <x:c r="M22" s="3"/>
      <x:c r="N22" s="3"/>
      <x:c r="O22" s="3"/>
      <x:c r="P22" s="3"/>
      <x:c r="Q22" s="3"/>
      <x:c r="R22" s="3"/>
    </x:row>
    <x:row r="23" ht="28" customHeight="1">
      <x:c r="A23" s="3" t="n">
        <x:v>5</x:v>
      </x:c>
      <x:c r="B23" s="3" t="n">
        <x:f>INDEX($B$8:$B$13,MATCH(A23,$P$8:$P$13,0))</x:f>
        <x:v>4</x:v>
      </x:c>
      <x:c r="C23" s="3" t="str">
        <x:f>INDEX($C$8:$C$13,MATCH(A23,$P$8:$P$13,0))</x:f>
        <x:v>紫影</x:v>
      </x:c>
      <x:c r="D23" s="3" t="str">
        <x:f>INDEX(Drivers!$C$8:$C$13,B23)</x:f>
        <x:v>NOVA</x:v>
      </x:c>
      <x:c r="E23" s="3" t="n">
        <x:f>INDEX($I$8:$I$13,MATCH(A23,$P$8:$P$13,0))</x:f>
        <x:v>3</x:v>
      </x:c>
      <x:c r="F23" s="100" t="n">
        <x:f>INDEX($G$8:$G$13,MATCH(A23,$P$8:$P$13,0))</x:f>
        <x:v>395.5746082762874</x:v>
      </x:c>
      <x:c r="G23" s="100" t="n">
        <x:f>INDEX($Q$8:$Q$13,MATCH(A23,$P$8:$P$13,0))</x:f>
        <x:v>25.40211818749799</x:v>
      </x:c>
      <x:c r="H23" s="3" t="str">
        <x:f>IF(INDEX($N$8:$N$13,MATCH(A23,$P$8:$P$13,0))&gt;0,"FINISHED",INDEX($E$8:$E$13,MATCH(A23,$P$8:$P$13,0)))</x:f>
        <x:v>RACE</x:v>
      </x:c>
      <x:c r="I23" s="102" t="n">
        <x:f>INDEX($M$8:$M$13,MATCH(A23,$P$8:$P$13,0))</x:f>
        <x:v>0.5904098630989364</x:v>
      </x:c>
      <x:c r="J23" s="104" t="str">
        <x:f>IF(INDEX($N$8:$N$13,MATCH(A23,$P$8:$P$13,0))=0,"",INDEX($N$8:$N$13,MATCH(A23,$P$8:$P$13,0))*Control!$B$5)</x:f>
      </x:c>
      <x:c r="K23" s="3"/>
      <x:c r="L23" s="3"/>
      <x:c r="M23" s="3"/>
      <x:c r="N23" s="3"/>
      <x:c r="O23" s="3"/>
      <x:c r="P23" s="3"/>
      <x:c r="Q23" s="3"/>
      <x:c r="R23" s="3"/>
    </x:row>
    <x:row r="24" ht="28" customHeight="1">
      <x:c r="A24" s="3" t="n">
        <x:v>6</x:v>
      </x:c>
      <x:c r="B24" s="3" t="n">
        <x:f>INDEX($B$8:$B$13,MATCH(A24,$P$8:$P$13,0))</x:f>
        <x:v>2</x:v>
      </x:c>
      <x:c r="C24" s="3" t="str">
        <x:f>INDEX($C$8:$C$13,MATCH(A24,$P$8:$P$13,0))</x:f>
        <x:v>蓝电</x:v>
      </x:c>
      <x:c r="D24" s="3" t="str">
        <x:f>INDEX(Drivers!$C$8:$C$13,B24)</x:f>
        <x:v>APEX</x:v>
      </x:c>
      <x:c r="E24" s="3" t="n">
        <x:f>INDEX($I$8:$I$13,MATCH(A24,$P$8:$P$13,0))</x:f>
        <x:v>3</x:v>
      </x:c>
      <x:c r="F24" s="100" t="n">
        <x:f>INDEX($G$8:$G$13,MATCH(A24,$P$8:$P$13,0))</x:f>
        <x:v>392.66250270095696</x:v>
      </x:c>
      <x:c r="G24" s="100" t="n">
        <x:f>INDEX($Q$8:$Q$13,MATCH(A24,$P$8:$P$13,0))</x:f>
        <x:v>28.31422376282842</x:v>
      </x:c>
      <x:c r="H24" s="3" t="str">
        <x:f>IF(INDEX($N$8:$N$13,MATCH(A24,$P$8:$P$13,0))&gt;0,"FINISHED",INDEX($E$8:$E$13,MATCH(A24,$P$8:$P$13,0)))</x:f>
        <x:v>RACE</x:v>
      </x:c>
      <x:c r="I24" s="102" t="n">
        <x:f>INDEX($M$8:$M$13,MATCH(A24,$P$8:$P$13,0))</x:f>
        <x:v>0.5860634368670999</x:v>
      </x:c>
      <x:c r="J24" s="104" t="str">
        <x:f>IF(INDEX($N$8:$N$13,MATCH(A24,$P$8:$P$13,0))=0,"",INDEX($N$8:$N$13,MATCH(A24,$P$8:$P$13,0))*Control!$B$5)</x:f>
      </x:c>
      <x:c r="K24" s="3"/>
      <x:c r="L24" s="3"/>
      <x:c r="M24" s="3"/>
      <x:c r="N24" s="3"/>
      <x:c r="O24" s="3"/>
      <x:c r="P24" s="3"/>
      <x:c r="Q24" s="3"/>
      <x:c r="R24" s="3"/>
    </x:row>
    <x:row r="25" ht="21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3"/>
      <x:c r="Q25" s="3"/>
      <x:c r="R25" s="3"/>
    </x:row>
    <x:row r="26" ht="21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  <x:c r="P26" s="3"/>
      <x:c r="Q26" s="3"/>
      <x:c r="R26" s="3"/>
    </x:row>
    <x:row r="27" ht="21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  <x:c r="P27" s="3"/>
      <x:c r="Q27" s="3"/>
      <x:c r="R27" s="3"/>
    </x:row>
    <x:row r="28" ht="21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  <x:c r="P28" s="3"/>
      <x:c r="Q28" s="3"/>
      <x:c r="R28" s="3"/>
    </x:row>
    <x:row r="29" ht="21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  <x:c r="Q29" s="3"/>
      <x:c r="R29" s="3"/>
    </x:row>
    <x:row r="30" ht="21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  <x:c r="Q30" s="3"/>
      <x:c r="R30" s="3"/>
    </x:row>
    <x:row r="31" ht="21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  <x:c r="Q31" s="3"/>
      <x:c r="R31" s="3"/>
    </x:row>
    <x:row r="32" ht="21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  <x:c r="R32" s="3"/>
    </x:row>
    <x:row r="33" ht="21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  <x:c r="Q33" s="3"/>
      <x:c r="R33" s="3"/>
    </x:row>
    <x:row r="34" ht="21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</x:row>
    <x:row r="35" ht="21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  <x:c r="Q35" s="3"/>
      <x:c r="R35" s="3"/>
    </x:row>
    <x:row r="36" ht="21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  <x:c r="Q36" s="3"/>
      <x:c r="R36" s="3"/>
    </x:row>
    <x:row r="37" ht="21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</x:row>
    <x:row r="38" ht="21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  <x:c r="R38" s="3"/>
    </x:row>
    <x:row r="39" ht="21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  <x:c r="R39" s="3"/>
    </x:row>
    <x:row r="40" ht="21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  <x:c r="R40" s="3"/>
    </x:row>
    <x:row r="41" ht="21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  <x:c r="R41" s="3"/>
    </x:row>
    <x:row r="42" ht="21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</x:row>
    <x:row r="43" ht="21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  <x:c r="R43" s="3"/>
    </x:row>
    <x:row r="44" ht="21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  <x:c r="R44" s="3"/>
    </x:row>
    <x:row r="45" ht="21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</x:row>
    <x:row r="46" ht="21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</x:row>
    <x:row r="47" ht="21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</x:row>
    <x:row r="48" ht="21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</x:row>
    <x:row r="49" ht="21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</x:row>
    <x:row r="50" ht="21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</x:row>
    <x:row r="51" ht="21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</x:row>
    <x:row r="52" ht="21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  <x:c r="Q52" s="3"/>
      <x:c r="R52" s="3"/>
    </x:row>
    <x:row r="53" ht="21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  <x:c r="Q53" s="3"/>
      <x:c r="R53" s="3"/>
    </x:row>
    <x:row r="54" ht="21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  <x:c r="Q54" s="3"/>
      <x:c r="R54" s="3"/>
    </x:row>
    <x:row r="55" ht="21" customHeight="1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  <x:c r="Q55" s="3"/>
      <x:c r="R55" s="3"/>
    </x:row>
    <x:row r="56" ht="21" customHeight="1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  <x:c r="Q56" s="3"/>
      <x:c r="R56" s="3"/>
    </x:row>
    <x:row r="57" ht="21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  <x:c r="Q57" s="3"/>
      <x:c r="R57" s="3"/>
    </x:row>
    <x:row r="58" ht="21" customHeight="1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3"/>
      <x:c r="Q58" s="3"/>
      <x:c r="R58" s="3"/>
    </x:row>
    <x:row r="59" ht="21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  <x:c r="Q59" s="3"/>
      <x:c r="R59" s="3"/>
    </x:row>
    <x:row r="60" ht="21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  <x:c r="R60" s="3"/>
    </x:row>
  </x:sheetData>
  <x:mergeCells>
    <x:mergeCell ref="A1:R2"/>
    <x:mergeCell ref="A3:R4"/>
  </x:mergeCells>
  <x:conditionalFormatting sqref="I19:I24">
    <x:cfRule type="dataBar" priority="1">
      <x:dataBar>
        <x:cfvo type="min"/>
        <x:cfvo type="max"/>
        <x:color rgb="FF159886"/>
      </x:dataBar>
      <x:extLst>
        <x:ext xmlns:x14="http://schemas.microsoft.com/office/spreadsheetml/2009/9/main" uri="{B025F937-C7B1-47D3-B67F-A62EFF666E3E}">
          <x14:id>{C34664B3-D234-0060-0EA1-76DA29BC6FC2}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fee9a9003b2e41e5"/>
  <x:tableParts count="2">
    <x:tablePart xmlns:r="http://schemas.openxmlformats.org/officeDocument/2006/relationships" r:id="R7edb21abc4054d9b"/>
    <x:tablePart xmlns:r="http://schemas.openxmlformats.org/officeDocument/2006/relationships" r:id="R680b3bf6c55a44fe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C34664B3-D234-0060-0EA1-76DA29BC6FC2}">
            <x14:dataBar gradient="1">
              <x14:cfvo type="min"/>
              <x14:cfvo type="max"/>
              <x14:fillColor rgb="FF159886"/>
            </x14:dataBar>
          </x14:cfRule>
          <xm:sqref>I19:I24</xm:sqref>
        </x14:conditionalFormatting>
      </x14:conditionalFormattings>
    </x:ext>
  </x:extLst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</x:cols>
  <x:sheetData>
    <x:row r="1" ht="21" customHeight="1">
      <x:c r="A1" s="8" t="str">
        <x:v>EXCEL GRAND PRIX  /  使用与原理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3"/>
      <x:c r="N1" s="3"/>
      <x:c r="O1" s="3"/>
      <x:c r="P1" s="3"/>
      <x:c r="Q1" s="3"/>
      <x:c r="R1" s="3"/>
    </x:row>
    <x:row r="2" ht="21" customHeight="1">
      <x:c r="A2" s="6"/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3"/>
      <x:c r="N2" s="3"/>
      <x:c r="O2" s="3"/>
      <x:c r="P2" s="3"/>
      <x:c r="Q2" s="3"/>
      <x:c r="R2" s="3"/>
    </x:row>
    <x:row r="3" ht="21" customHeight="1">
      <x:c r="A3" s="10" t="str">
        <x:v>原生单元格赛道 · 表格数据驱动 · 透明公式 · 可选 VBA 连续播放。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3"/>
      <x:c r="N3" s="3"/>
      <x:c r="O3" s="3"/>
      <x:c r="P3" s="3"/>
      <x:c r="Q3" s="3"/>
      <x:c r="R3" s="3"/>
    </x:row>
    <x:row r="4" ht="21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3"/>
      <x:c r="N4" s="3"/>
      <x:c r="O4" s="3"/>
      <x:c r="P4" s="3"/>
      <x:c r="Q4" s="3"/>
      <x:c r="R4" s="3"/>
    </x:row>
    <x:row r="5" ht="21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</x:row>
    <x:row r="6" ht="25" customHeight="1">
      <x:c r="A6" s="389" t="str">
        <x:v>01  先看效果：无需安装任何东西</x:v>
      </x:c>
      <x:c r="B6" s="389"/>
      <x:c r="C6" s="389"/>
      <x:c r="D6" s="389"/>
      <x:c r="E6" s="389"/>
      <x:c r="F6" s="389"/>
      <x:c r="G6" s="389"/>
      <x:c r="H6" s="389"/>
      <x:c r="I6" s="389"/>
      <x:c r="J6" s="389"/>
      <x:c r="K6" s="389"/>
      <x:c r="L6" s="389"/>
      <x:c r="M6" s="3"/>
      <x:c r="N6" s="3"/>
      <x:c r="O6" s="3"/>
      <x:c r="P6" s="3"/>
      <x:c r="Q6" s="3"/>
      <x:c r="R6" s="3"/>
    </x:row>
    <x:row r="7" ht="24" customHeight="1">
      <x:c r="A7" s="394" t="str">
        <x:v>打开 RaceTrack 工作表，右侧蓝色 BL9 是播放帧。输入 0 查看发车；输入 119 查看比赛中段；输入 194 查看首辆冲线；输入 240 查看全部车辆完赛。每次按 Enter，车辆、圈数、进度和排名会一起更新。</x:v>
      </x:c>
      <x:c r="B7" s="394"/>
      <x:c r="C7" s="394"/>
      <x:c r="D7" s="394"/>
      <x:c r="E7" s="394"/>
      <x:c r="F7" s="394"/>
      <x:c r="G7" s="394"/>
      <x:c r="H7" s="394"/>
      <x:c r="I7" s="394"/>
      <x:c r="J7" s="394"/>
      <x:c r="K7" s="394"/>
      <x:c r="L7" s="394"/>
      <x:c r="M7" s="3"/>
      <x:c r="N7" s="3"/>
      <x:c r="O7" s="3"/>
      <x:c r="P7" s="3"/>
      <x:c r="Q7" s="3"/>
      <x:c r="R7" s="3"/>
    </x:row>
    <x:row r="8" ht="24" customHeight="1">
      <x:c r="A8" s="394"/>
      <x:c r="B8" s="394"/>
      <x:c r="C8" s="394"/>
      <x:c r="D8" s="394"/>
      <x:c r="E8" s="394"/>
      <x:c r="F8" s="394"/>
      <x:c r="G8" s="394"/>
      <x:c r="H8" s="394"/>
      <x:c r="I8" s="394"/>
      <x:c r="J8" s="394"/>
      <x:c r="K8" s="394"/>
      <x:c r="L8" s="394"/>
      <x:c r="M8" s="3"/>
      <x:c r="N8" s="3"/>
      <x:c r="O8" s="3"/>
      <x:c r="P8" s="3"/>
      <x:c r="Q8" s="3"/>
      <x:c r="R8" s="3"/>
    </x:row>
    <x:row r="9" ht="24" customHeight="1">
      <x:c r="A9" s="394"/>
      <x:c r="B9" s="394"/>
      <x:c r="C9" s="394"/>
      <x:c r="D9" s="394"/>
      <x:c r="E9" s="394"/>
      <x:c r="F9" s="394"/>
      <x:c r="G9" s="394"/>
      <x:c r="H9" s="394"/>
      <x:c r="I9" s="394"/>
      <x:c r="J9" s="394"/>
      <x:c r="K9" s="394"/>
      <x:c r="L9" s="394"/>
      <x:c r="M9" s="3"/>
      <x:c r="N9" s="3"/>
      <x:c r="O9" s="3"/>
      <x:c r="P9" s="3"/>
      <x:c r="Q9" s="3"/>
      <x:c r="R9" s="3"/>
    </x:row>
    <x:row r="10" ht="21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</x:row>
    <x:row r="11" ht="25" customHeight="1">
      <x:c r="A11" s="389" t="str">
        <x:v>02  自动播放：可选的桌面 Excel 宏</x:v>
      </x:c>
      <x:c r="B11" s="389"/>
      <x:c r="C11" s="389"/>
      <x:c r="D11" s="389"/>
      <x:c r="E11" s="389"/>
      <x:c r="F11" s="389"/>
      <x:c r="G11" s="389"/>
      <x:c r="H11" s="389"/>
      <x:c r="I11" s="389"/>
      <x:c r="J11" s="389"/>
      <x:c r="K11" s="389"/>
      <x:c r="L11" s="389"/>
      <x:c r="M11" s="3"/>
      <x:c r="N11" s="3"/>
      <x:c r="O11" s="3"/>
      <x:c r="P11" s="3"/>
      <x:c r="Q11" s="3"/>
      <x:c r="R11" s="3"/>
    </x:row>
    <x:row r="12" ht="24" customHeight="1">
      <x:c r="A12" s="394" t="str">
        <x:v>工作簿本身为不带宏的 .xlsx，不会自动连续播放。需要连续播放时：另存为 .xlsm → 打开 Visual Basic 编辑器 → 文件/导入文件 → 选择 RacePlayer.bas → 返回 Excel，在宏列表运行 SetupRace。之后使用右下角 PLAY / PAUSE / RESET / STEP 按钮。只在确认代码可信的前提下启用本文件宏。</x:v>
      </x:c>
      <x:c r="B12" s="394"/>
      <x:c r="C12" s="394"/>
      <x:c r="D12" s="394"/>
      <x:c r="E12" s="394"/>
      <x:c r="F12" s="394"/>
      <x:c r="G12" s="394"/>
      <x:c r="H12" s="394"/>
      <x:c r="I12" s="394"/>
      <x:c r="J12" s="394"/>
      <x:c r="K12" s="394"/>
      <x:c r="L12" s="394"/>
      <x:c r="M12" s="3"/>
      <x:c r="N12" s="3"/>
      <x:c r="O12" s="3"/>
      <x:c r="P12" s="3"/>
      <x:c r="Q12" s="3"/>
      <x:c r="R12" s="3"/>
    </x:row>
    <x:row r="13" ht="24" customHeight="1">
      <x:c r="A13" s="394"/>
      <x:c r="B13" s="394"/>
      <x:c r="C13" s="394"/>
      <x:c r="D13" s="394"/>
      <x:c r="E13" s="394"/>
      <x:c r="F13" s="394"/>
      <x:c r="G13" s="394"/>
      <x:c r="H13" s="394"/>
      <x:c r="I13" s="394"/>
      <x:c r="J13" s="394"/>
      <x:c r="K13" s="394"/>
      <x:c r="L13" s="394"/>
      <x:c r="M13" s="3"/>
      <x:c r="N13" s="3"/>
      <x:c r="O13" s="3"/>
      <x:c r="P13" s="3"/>
      <x:c r="Q13" s="3"/>
      <x:c r="R13" s="3"/>
    </x:row>
    <x:row r="14" ht="24" customHeight="1">
      <x:c r="A14" s="394"/>
      <x:c r="B14" s="394"/>
      <x:c r="C14" s="394"/>
      <x:c r="D14" s="394"/>
      <x:c r="E14" s="394"/>
      <x:c r="F14" s="394"/>
      <x:c r="G14" s="394"/>
      <x:c r="H14" s="394"/>
      <x:c r="I14" s="394"/>
      <x:c r="J14" s="394"/>
      <x:c r="K14" s="394"/>
      <x:c r="L14" s="394"/>
      <x:c r="M14" s="3"/>
      <x:c r="N14" s="3"/>
      <x:c r="O14" s="3"/>
      <x:c r="P14" s="3"/>
      <x:c r="Q14" s="3"/>
      <x:c r="R14" s="3"/>
    </x:row>
    <x:row r="15" ht="24" customHeight="1">
      <x:c r="A15" s="394"/>
      <x:c r="B15" s="394"/>
      <x:c r="C15" s="394"/>
      <x:c r="D15" s="394"/>
      <x:c r="E15" s="394"/>
      <x:c r="F15" s="394"/>
      <x:c r="G15" s="394"/>
      <x:c r="H15" s="394"/>
      <x:c r="I15" s="394"/>
      <x:c r="J15" s="394"/>
      <x:c r="K15" s="394"/>
      <x:c r="L15" s="394"/>
      <x:c r="M15" s="3"/>
      <x:c r="N15" s="3"/>
      <x:c r="O15" s="3"/>
      <x:c r="P15" s="3"/>
      <x:c r="Q15" s="3"/>
      <x:c r="R15" s="3"/>
    </x:row>
    <x:row r="16" ht="21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  <x:c r="R16" s="3"/>
    </x:row>
    <x:row r="17" ht="25" customHeight="1">
      <x:c r="A17" s="389" t="str">
        <x:v>03  Windows / Mac 与播放节奏</x:v>
      </x:c>
      <x:c r="B17" s="389"/>
      <x:c r="C17" s="389"/>
      <x:c r="D17" s="389"/>
      <x:c r="E17" s="389"/>
      <x:c r="F17" s="389"/>
      <x:c r="G17" s="389"/>
      <x:c r="H17" s="389"/>
      <x:c r="I17" s="389"/>
      <x:c r="J17" s="389"/>
      <x:c r="K17" s="389"/>
      <x:c r="L17" s="389"/>
      <x:c r="M17" s="3"/>
      <x:c r="N17" s="3"/>
      <x:c r="O17" s="3"/>
      <x:c r="P17" s="3"/>
      <x:c r="Q17" s="3"/>
      <x:c r="R17" s="3"/>
    </x:row>
    <x:row r="18" ht="24" customHeight="1">
      <x:c r="A18" s="394" t="str">
        <x:v>按钮宏只操作当前工作簿中的帧数和原生图形，不访问网络，也不读写其他文件。默认每 1 秒前进 4 帧，模拟时间每帧 0.25 秒。Control 的 B9 / B10 分别设置步长和刷新间隔；这不是高帧率游戏动画。Excel 网页版可查看和编辑表格，但不运行 VBA。关闭文件前先点 PAUSE。</x:v>
      </x:c>
      <x:c r="B18" s="394"/>
      <x:c r="C18" s="394"/>
      <x:c r="D18" s="394"/>
      <x:c r="E18" s="394"/>
      <x:c r="F18" s="394"/>
      <x:c r="G18" s="394"/>
      <x:c r="H18" s="394"/>
      <x:c r="I18" s="394"/>
      <x:c r="J18" s="394"/>
      <x:c r="K18" s="394"/>
      <x:c r="L18" s="394"/>
      <x:c r="M18" s="3"/>
      <x:c r="N18" s="3"/>
      <x:c r="O18" s="3"/>
      <x:c r="P18" s="3"/>
      <x:c r="Q18" s="3"/>
      <x:c r="R18" s="3"/>
    </x:row>
    <x:row r="19" ht="24" customHeight="1">
      <x:c r="A19" s="394"/>
      <x:c r="B19" s="394"/>
      <x:c r="C19" s="394"/>
      <x:c r="D19" s="394"/>
      <x:c r="E19" s="394"/>
      <x:c r="F19" s="394"/>
      <x:c r="G19" s="394"/>
      <x:c r="H19" s="394"/>
      <x:c r="I19" s="394"/>
      <x:c r="J19" s="394"/>
      <x:c r="K19" s="394"/>
      <x:c r="L19" s="394"/>
      <x:c r="M19" s="3"/>
      <x:c r="N19" s="3"/>
      <x:c r="O19" s="3"/>
      <x:c r="P19" s="3"/>
      <x:c r="Q19" s="3"/>
      <x:c r="R19" s="3"/>
    </x:row>
    <x:row r="20" ht="24" customHeight="1">
      <x:c r="A20" s="394"/>
      <x:c r="B20" s="394"/>
      <x:c r="C20" s="394"/>
      <x:c r="D20" s="394"/>
      <x:c r="E20" s="394"/>
      <x:c r="F20" s="394"/>
      <x:c r="G20" s="394"/>
      <x:c r="H20" s="394"/>
      <x:c r="I20" s="394"/>
      <x:c r="J20" s="394"/>
      <x:c r="K20" s="394"/>
      <x:c r="L20" s="394"/>
      <x:c r="M20" s="3"/>
      <x:c r="N20" s="3"/>
      <x:c r="O20" s="3"/>
      <x:c r="P20" s="3"/>
      <x:c r="Q20" s="3"/>
      <x:c r="R20" s="3"/>
    </x:row>
    <x:row r="21" ht="24" customHeight="1">
      <x:c r="A21" s="394"/>
      <x:c r="B21" s="394"/>
      <x:c r="C21" s="394"/>
      <x:c r="D21" s="394"/>
      <x:c r="E21" s="394"/>
      <x:c r="F21" s="394"/>
      <x:c r="G21" s="394"/>
      <x:c r="H21" s="394"/>
      <x:c r="I21" s="394"/>
      <x:c r="J21" s="394"/>
      <x:c r="K21" s="394"/>
      <x:c r="L21" s="394"/>
      <x:c r="M21" s="3"/>
      <x:c r="N21" s="3"/>
      <x:c r="O21" s="3"/>
      <x:c r="P21" s="3"/>
      <x:c r="Q21" s="3"/>
      <x:c r="R21" s="3"/>
    </x:row>
    <x:row r="22" ht="21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  <x:c r="P22" s="3"/>
      <x:c r="Q22" s="3"/>
      <x:c r="R22" s="3"/>
    </x:row>
    <x:row r="23" ht="25" customHeight="1">
      <x:c r="A23" s="389" t="str">
        <x:v>04  修改比赛：公式会重新生成赛况</x:v>
      </x:c>
      <x:c r="B23" s="389"/>
      <x:c r="C23" s="389"/>
      <x:c r="D23" s="389"/>
      <x:c r="E23" s="389"/>
      <x:c r="F23" s="389"/>
      <x:c r="G23" s="389"/>
      <x:c r="H23" s="389"/>
      <x:c r="I23" s="389"/>
      <x:c r="J23" s="389"/>
      <x:c r="K23" s="389"/>
      <x:c r="L23" s="389"/>
      <x:c r="M23" s="3"/>
      <x:c r="N23" s="3"/>
      <x:c r="O23" s="3"/>
      <x:c r="P23" s="3"/>
      <x:c r="Q23" s="3"/>
      <x:c r="R23" s="3"/>
    </x:row>
    <x:row r="24" ht="24" customHeight="1">
      <x:c r="A24" s="394" t="str">
        <x:v>Drivers：编辑车手名、车队、基础速度、波动幅度、加速相位、停车帧、车道、发车偏移和停车时长。Control：编辑圈数、加速倍率、持续时长和赛况种子。TrackMap：蓝色速度系数可修改；坐标与编号属于结构数据，修改坐标不会自动重画静态路面，请保持原结构。</x:v>
      </x:c>
      <x:c r="B24" s="394"/>
      <x:c r="C24" s="394"/>
      <x:c r="D24" s="394"/>
      <x:c r="E24" s="394"/>
      <x:c r="F24" s="394"/>
      <x:c r="G24" s="394"/>
      <x:c r="H24" s="394"/>
      <x:c r="I24" s="394"/>
      <x:c r="J24" s="394"/>
      <x:c r="K24" s="394"/>
      <x:c r="L24" s="394"/>
      <x:c r="M24" s="3"/>
      <x:c r="N24" s="3"/>
      <x:c r="O24" s="3"/>
      <x:c r="P24" s="3"/>
      <x:c r="Q24" s="3"/>
      <x:c r="R24" s="3"/>
    </x:row>
    <x:row r="25" ht="24" customHeight="1">
      <x:c r="A25" s="394"/>
      <x:c r="B25" s="394"/>
      <x:c r="C25" s="394"/>
      <x:c r="D25" s="394"/>
      <x:c r="E25" s="394"/>
      <x:c r="F25" s="394"/>
      <x:c r="G25" s="394"/>
      <x:c r="H25" s="394"/>
      <x:c r="I25" s="394"/>
      <x:c r="J25" s="394"/>
      <x:c r="K25" s="394"/>
      <x:c r="L25" s="394"/>
      <x:c r="M25" s="3"/>
      <x:c r="N25" s="3"/>
      <x:c r="O25" s="3"/>
      <x:c r="P25" s="3"/>
      <x:c r="Q25" s="3"/>
      <x:c r="R25" s="3"/>
    </x:row>
    <x:row r="26" ht="24" customHeight="1">
      <x:c r="A26" s="394"/>
      <x:c r="B26" s="394"/>
      <x:c r="C26" s="394"/>
      <x:c r="D26" s="394"/>
      <x:c r="E26" s="394"/>
      <x:c r="F26" s="394"/>
      <x:c r="G26" s="394"/>
      <x:c r="H26" s="394"/>
      <x:c r="I26" s="394"/>
      <x:c r="J26" s="394"/>
      <x:c r="K26" s="394"/>
      <x:c r="L26" s="394"/>
      <x:c r="M26" s="3"/>
      <x:c r="N26" s="3"/>
      <x:c r="O26" s="3"/>
      <x:c r="P26" s="3"/>
      <x:c r="Q26" s="3"/>
      <x:c r="R26" s="3"/>
    </x:row>
    <x:row r="27" ht="24" customHeight="1">
      <x:c r="A27" s="394"/>
      <x:c r="B27" s="394"/>
      <x:c r="C27" s="394"/>
      <x:c r="D27" s="394"/>
      <x:c r="E27" s="394"/>
      <x:c r="F27" s="394"/>
      <x:c r="G27" s="394"/>
      <x:c r="H27" s="394"/>
      <x:c r="I27" s="394"/>
      <x:c r="J27" s="394"/>
      <x:c r="K27" s="394"/>
      <x:c r="L27" s="394"/>
      <x:c r="M27" s="3"/>
      <x:c r="N27" s="3"/>
      <x:c r="O27" s="3"/>
      <x:c r="P27" s="3"/>
      <x:c r="Q27" s="3"/>
      <x:c r="R27" s="3"/>
    </x:row>
    <x:row r="28" ht="21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  <x:c r="P28" s="3"/>
      <x:c r="Q28" s="3"/>
      <x:c r="R28" s="3"/>
    </x:row>
    <x:row r="29" ht="25" customHeight="1">
      <x:c r="A29" s="389" t="str">
        <x:v>05  数据如何变成画面</x:v>
      </x:c>
      <x:c r="B29" s="389"/>
      <x:c r="C29" s="389"/>
      <x:c r="D29" s="389"/>
      <x:c r="E29" s="389"/>
      <x:c r="F29" s="389"/>
      <x:c r="G29" s="389"/>
      <x:c r="H29" s="389"/>
      <x:c r="I29" s="389"/>
      <x:c r="J29" s="389"/>
      <x:c r="K29" s="389"/>
      <x:c r="L29" s="389"/>
      <x:c r="M29" s="3"/>
      <x:c r="N29" s="3"/>
      <x:c r="O29" s="3"/>
      <x:c r="P29" s="3"/>
      <x:c r="Q29" s="3"/>
      <x:c r="R29" s="3"/>
    </x:row>
    <x:row r="30" ht="24" customHeight="1">
      <x:c r="A30" s="394" t="str">
        <x:v>TrackMap 的 134 个节点定义赛道编号、方向、两条车道和弯道系数。RaceData 每一行依次计算上帧距离、事件、当帧步长、累计路程、取模位置和排名。Live 提取所选帧并排序。RaceTrack 的 274 个显示单元格用 IF / COUNTIF 读取车号，条件格式将它们变成彩色车辆。其余路面、红白路肩、草坪和装饰都是单元格。</x:v>
      </x:c>
      <x:c r="B30" s="394"/>
      <x:c r="C30" s="394"/>
      <x:c r="D30" s="394"/>
      <x:c r="E30" s="394"/>
      <x:c r="F30" s="394"/>
      <x:c r="G30" s="394"/>
      <x:c r="H30" s="394"/>
      <x:c r="I30" s="394"/>
      <x:c r="J30" s="394"/>
      <x:c r="K30" s="394"/>
      <x:c r="L30" s="394"/>
      <x:c r="M30" s="3"/>
      <x:c r="N30" s="3"/>
      <x:c r="O30" s="3"/>
      <x:c r="P30" s="3"/>
      <x:c r="Q30" s="3"/>
      <x:c r="R30" s="3"/>
    </x:row>
    <x:row r="31" ht="24" customHeight="1">
      <x:c r="A31" s="394"/>
      <x:c r="B31" s="394"/>
      <x:c r="C31" s="394"/>
      <x:c r="D31" s="394"/>
      <x:c r="E31" s="394"/>
      <x:c r="F31" s="394"/>
      <x:c r="G31" s="394"/>
      <x:c r="H31" s="394"/>
      <x:c r="I31" s="394"/>
      <x:c r="J31" s="394"/>
      <x:c r="K31" s="394"/>
      <x:c r="L31" s="394"/>
      <x:c r="M31" s="3"/>
      <x:c r="N31" s="3"/>
      <x:c r="O31" s="3"/>
      <x:c r="P31" s="3"/>
      <x:c r="Q31" s="3"/>
      <x:c r="R31" s="3"/>
    </x:row>
    <x:row r="32" ht="24" customHeight="1">
      <x:c r="A32" s="394"/>
      <x:c r="B32" s="394"/>
      <x:c r="C32" s="394"/>
      <x:c r="D32" s="394"/>
      <x:c r="E32" s="394"/>
      <x:c r="F32" s="394"/>
      <x:c r="G32" s="394"/>
      <x:c r="H32" s="394"/>
      <x:c r="I32" s="394"/>
      <x:c r="J32" s="394"/>
      <x:c r="K32" s="394"/>
      <x:c r="L32" s="394"/>
      <x:c r="M32" s="3"/>
      <x:c r="N32" s="3"/>
      <x:c r="O32" s="3"/>
      <x:c r="P32" s="3"/>
      <x:c r="Q32" s="3"/>
      <x:c r="R32" s="3"/>
    </x:row>
    <x:row r="33" ht="24" customHeight="1">
      <x:c r="A33" s="394"/>
      <x:c r="B33" s="394"/>
      <x:c r="C33" s="394"/>
      <x:c r="D33" s="394"/>
      <x:c r="E33" s="394"/>
      <x:c r="F33" s="394"/>
      <x:c r="G33" s="394"/>
      <x:c r="H33" s="394"/>
      <x:c r="I33" s="394"/>
      <x:c r="J33" s="394"/>
      <x:c r="K33" s="394"/>
      <x:c r="L33" s="394"/>
      <x:c r="M33" s="3"/>
      <x:c r="N33" s="3"/>
      <x:c r="O33" s="3"/>
      <x:c r="P33" s="3"/>
      <x:c r="Q33" s="3"/>
      <x:c r="R33" s="3"/>
    </x:row>
    <x:row r="34" ht="21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</x:row>
    <x:row r="35" ht="25" customHeight="1">
      <x:c r="A35" s="389" t="str">
        <x:v>06  计算规则与边界</x:v>
      </x:c>
      <x:c r="B35" s="389"/>
      <x:c r="C35" s="389"/>
      <x:c r="D35" s="389"/>
      <x:c r="E35" s="389"/>
      <x:c r="F35" s="389"/>
      <x:c r="G35" s="389"/>
      <x:c r="H35" s="389"/>
      <x:c r="I35" s="389"/>
      <x:c r="J35" s="389"/>
      <x:c r="K35" s="389"/>
      <x:c r="L35" s="389"/>
      <x:c r="M35" s="3"/>
      <x:c r="N35" s="3"/>
      <x:c r="O35" s="3"/>
      <x:c r="P35" s="3"/>
      <x:c r="Q35" s="3"/>
      <x:c r="R35" s="3"/>
    </x:row>
    <x:row r="36" ht="24" customHeight="1">
      <x:c r="A36" s="394" t="str">
        <x:v>事件：GRID 发车、RACE 正常、BOOST 加速、PIT 原位维修、FINISHED 已完赛。模型是演示数据，不是实车物理模拟；没有真实轮胎、碰撞或独立进站路径。同格同车道的车号会合并显示。完赛按首次到达终点的帧数排序；同帧冲线时车号较小者在前。慢速配置可能在最后一帧仍未完赛，不会伪造完赛。</x:v>
      </x:c>
      <x:c r="B36" s="394"/>
      <x:c r="C36" s="394"/>
      <x:c r="D36" s="394"/>
      <x:c r="E36" s="394"/>
      <x:c r="F36" s="394"/>
      <x:c r="G36" s="394"/>
      <x:c r="H36" s="394"/>
      <x:c r="I36" s="394"/>
      <x:c r="J36" s="394"/>
      <x:c r="K36" s="394"/>
      <x:c r="L36" s="394"/>
      <x:c r="M36" s="3"/>
      <x:c r="N36" s="3"/>
      <x:c r="O36" s="3"/>
      <x:c r="P36" s="3"/>
      <x:c r="Q36" s="3"/>
      <x:c r="R36" s="3"/>
    </x:row>
    <x:row r="37" ht="24" customHeight="1">
      <x:c r="A37" s="394"/>
      <x:c r="B37" s="394"/>
      <x:c r="C37" s="394"/>
      <x:c r="D37" s="394"/>
      <x:c r="E37" s="394"/>
      <x:c r="F37" s="394"/>
      <x:c r="G37" s="394"/>
      <x:c r="H37" s="394"/>
      <x:c r="I37" s="394"/>
      <x:c r="J37" s="394"/>
      <x:c r="K37" s="394"/>
      <x:c r="L37" s="394"/>
      <x:c r="M37" s="3"/>
      <x:c r="N37" s="3"/>
      <x:c r="O37" s="3"/>
      <x:c r="P37" s="3"/>
      <x:c r="Q37" s="3"/>
      <x:c r="R37" s="3"/>
    </x:row>
    <x:row r="38" ht="24" customHeight="1">
      <x:c r="A38" s="394"/>
      <x:c r="B38" s="394"/>
      <x:c r="C38" s="394"/>
      <x:c r="D38" s="394"/>
      <x:c r="E38" s="394"/>
      <x:c r="F38" s="394"/>
      <x:c r="G38" s="394"/>
      <x:c r="H38" s="394"/>
      <x:c r="I38" s="394"/>
      <x:c r="J38" s="394"/>
      <x:c r="K38" s="394"/>
      <x:c r="L38" s="394"/>
      <x:c r="M38" s="3"/>
      <x:c r="N38" s="3"/>
      <x:c r="O38" s="3"/>
      <x:c r="P38" s="3"/>
      <x:c r="Q38" s="3"/>
      <x:c r="R38" s="3"/>
    </x:row>
    <x:row r="39" ht="24" customHeight="1">
      <x:c r="A39" s="394"/>
      <x:c r="B39" s="394"/>
      <x:c r="C39" s="394"/>
      <x:c r="D39" s="394"/>
      <x:c r="E39" s="394"/>
      <x:c r="F39" s="394"/>
      <x:c r="G39" s="394"/>
      <x:c r="H39" s="394"/>
      <x:c r="I39" s="394"/>
      <x:c r="J39" s="394"/>
      <x:c r="K39" s="394"/>
      <x:c r="L39" s="394"/>
      <x:c r="M39" s="3"/>
      <x:c r="N39" s="3"/>
      <x:c r="O39" s="3"/>
      <x:c r="P39" s="3"/>
      <x:c r="Q39" s="3"/>
      <x:c r="R39" s="3"/>
    </x:row>
    <x:row r="40" ht="21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  <x:c r="R40" s="3"/>
    </x:row>
    <x:row r="41" ht="25" customHeight="1">
      <x:c r="A41" s="389" t="str">
        <x:v>07  文件结构</x:v>
      </x:c>
      <x:c r="B41" s="389"/>
      <x:c r="C41" s="389"/>
      <x:c r="D41" s="389"/>
      <x:c r="E41" s="389"/>
      <x:c r="F41" s="389"/>
      <x:c r="G41" s="389"/>
      <x:c r="H41" s="389"/>
      <x:c r="I41" s="389"/>
      <x:c r="J41" s="389"/>
      <x:c r="K41" s="389"/>
      <x:c r="L41" s="389"/>
      <x:c r="M41" s="3"/>
      <x:c r="N41" s="3"/>
      <x:c r="O41" s="3"/>
      <x:c r="P41" s="3"/>
      <x:c r="Q41" s="3"/>
      <x:c r="R41" s="3"/>
    </x:row>
    <x:row r="42" ht="24" customHeight="1">
      <x:c r="A42" s="394" t="str">
        <x:v>RaceTrack＝可视化赛道与控制面板；Control＝全局参数；Drivers＝6 辆车输入表；TrackMap＝134 个节点映射表；RaceData＝0–240 帧的 1,446 条完整记录；Live＝当前帧、排序与原生条形图；ReadMe＝当前说明。蓝色底色/文字代表可编辑参数，公式与结构区保持原样即可。</x:v>
      </x:c>
      <x:c r="B42" s="394"/>
      <x:c r="C42" s="394"/>
      <x:c r="D42" s="394"/>
      <x:c r="E42" s="394"/>
      <x:c r="F42" s="394"/>
      <x:c r="G42" s="394"/>
      <x:c r="H42" s="394"/>
      <x:c r="I42" s="394"/>
      <x:c r="J42" s="394"/>
      <x:c r="K42" s="394"/>
      <x:c r="L42" s="394"/>
      <x:c r="M42" s="3"/>
      <x:c r="N42" s="3"/>
      <x:c r="O42" s="3"/>
      <x:c r="P42" s="3"/>
      <x:c r="Q42" s="3"/>
      <x:c r="R42" s="3"/>
    </x:row>
    <x:row r="43" ht="24" customHeight="1">
      <x:c r="A43" s="394"/>
      <x:c r="B43" s="394"/>
      <x:c r="C43" s="394"/>
      <x:c r="D43" s="394"/>
      <x:c r="E43" s="394"/>
      <x:c r="F43" s="394"/>
      <x:c r="G43" s="394"/>
      <x:c r="H43" s="394"/>
      <x:c r="I43" s="394"/>
      <x:c r="J43" s="394"/>
      <x:c r="K43" s="394"/>
      <x:c r="L43" s="394"/>
      <x:c r="M43" s="3"/>
      <x:c r="N43" s="3"/>
      <x:c r="O43" s="3"/>
      <x:c r="P43" s="3"/>
      <x:c r="Q43" s="3"/>
      <x:c r="R43" s="3"/>
    </x:row>
    <x:row r="44" ht="24" customHeight="1">
      <x:c r="A44" s="394"/>
      <x:c r="B44" s="394"/>
      <x:c r="C44" s="394"/>
      <x:c r="D44" s="394"/>
      <x:c r="E44" s="394"/>
      <x:c r="F44" s="394"/>
      <x:c r="G44" s="394"/>
      <x:c r="H44" s="394"/>
      <x:c r="I44" s="394"/>
      <x:c r="J44" s="394"/>
      <x:c r="K44" s="394"/>
      <x:c r="L44" s="394"/>
      <x:c r="M44" s="3"/>
      <x:c r="N44" s="3"/>
      <x:c r="O44" s="3"/>
      <x:c r="P44" s="3"/>
      <x:c r="Q44" s="3"/>
      <x:c r="R44" s="3"/>
    </x:row>
    <x:row r="45" ht="21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</x:row>
    <x:row r="46" ht="25" customHeight="1">
      <x:c r="A46" s="389" t="str">
        <x:v>08  来源与测试说明</x:v>
      </x:c>
      <x:c r="B46" s="389"/>
      <x:c r="C46" s="389"/>
      <x:c r="D46" s="389"/>
      <x:c r="E46" s="389"/>
      <x:c r="F46" s="389"/>
      <x:c r="G46" s="389"/>
      <x:c r="H46" s="389"/>
      <x:c r="I46" s="389"/>
      <x:c r="J46" s="389"/>
      <x:c r="K46" s="389"/>
      <x:c r="L46" s="389"/>
      <x:c r="M46" s="3"/>
      <x:c r="N46" s="3"/>
      <x:c r="O46" s="3"/>
      <x:c r="P46" s="3"/>
      <x:c r="Q46" s="3"/>
      <x:c r="R46" s="3"/>
    </x:row>
    <x:row r="47" ht="24" customHeight="1">
      <x:c r="A47" s="394" t="str">
        <x:v>视觉参考：用户在本次对话提供的 Excel 赛道截图。赛道几何为按参考图重建；品牌文字已改为 EXCEL GRAND PRIX。所有车手和赛况参数为虚构演示输入。本文件不是 FMWC 官方赛题或原始工作簿。公式使用生成环境验算；VBA 代码未在 Windows / Mac 桌面 Excel 中实际运行验证。</x:v>
      </x:c>
      <x:c r="B47" s="394"/>
      <x:c r="C47" s="394"/>
      <x:c r="D47" s="394"/>
      <x:c r="E47" s="394"/>
      <x:c r="F47" s="394"/>
      <x:c r="G47" s="394"/>
      <x:c r="H47" s="394"/>
      <x:c r="I47" s="394"/>
      <x:c r="J47" s="394"/>
      <x:c r="K47" s="394"/>
      <x:c r="L47" s="394"/>
      <x:c r="M47" s="3"/>
      <x:c r="N47" s="3"/>
      <x:c r="O47" s="3"/>
      <x:c r="P47" s="3"/>
      <x:c r="Q47" s="3"/>
      <x:c r="R47" s="3"/>
    </x:row>
    <x:row r="48" ht="24" customHeight="1">
      <x:c r="A48" s="394"/>
      <x:c r="B48" s="394"/>
      <x:c r="C48" s="394"/>
      <x:c r="D48" s="394"/>
      <x:c r="E48" s="394"/>
      <x:c r="F48" s="394"/>
      <x:c r="G48" s="394"/>
      <x:c r="H48" s="394"/>
      <x:c r="I48" s="394"/>
      <x:c r="J48" s="394"/>
      <x:c r="K48" s="394"/>
      <x:c r="L48" s="394"/>
      <x:c r="M48" s="3"/>
      <x:c r="N48" s="3"/>
      <x:c r="O48" s="3"/>
      <x:c r="P48" s="3"/>
      <x:c r="Q48" s="3"/>
      <x:c r="R48" s="3"/>
    </x:row>
    <x:row r="49" ht="24" customHeight="1">
      <x:c r="A49" s="394"/>
      <x:c r="B49" s="394"/>
      <x:c r="C49" s="394"/>
      <x:c r="D49" s="394"/>
      <x:c r="E49" s="394"/>
      <x:c r="F49" s="394"/>
      <x:c r="G49" s="394"/>
      <x:c r="H49" s="394"/>
      <x:c r="I49" s="394"/>
      <x:c r="J49" s="394"/>
      <x:c r="K49" s="394"/>
      <x:c r="L49" s="394"/>
      <x:c r="M49" s="3"/>
      <x:c r="N49" s="3"/>
      <x:c r="O49" s="3"/>
      <x:c r="P49" s="3"/>
      <x:c r="Q49" s="3"/>
      <x:c r="R49" s="3"/>
    </x:row>
    <x:row r="50" ht="24" customHeight="1">
      <x:c r="A50" s="394"/>
      <x:c r="B50" s="394"/>
      <x:c r="C50" s="394"/>
      <x:c r="D50" s="394"/>
      <x:c r="E50" s="394"/>
      <x:c r="F50" s="394"/>
      <x:c r="G50" s="394"/>
      <x:c r="H50" s="394"/>
      <x:c r="I50" s="394"/>
      <x:c r="J50" s="394"/>
      <x:c r="K50" s="394"/>
      <x:c r="L50" s="394"/>
      <x:c r="M50" s="3"/>
      <x:c r="N50" s="3"/>
      <x:c r="O50" s="3"/>
      <x:c r="P50" s="3"/>
      <x:c r="Q50" s="3"/>
      <x:c r="R50" s="3"/>
    </x:row>
    <x:row r="51" ht="21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</x:row>
    <x:row r="52" ht="26" customHeight="1">
      <x:c r="A52" s="398" t="str">
        <x:v>宏功能参考：Microsoft 官方文档</x:v>
      </x:c>
      <x:c r="B52" s="398"/>
      <x:c r="C52" s="398"/>
      <x:c r="D52" s="398"/>
      <x:c r="E52" s="398"/>
      <x:c r="F52" s="398"/>
      <x:c r="G52" s="398"/>
      <x:c r="H52" s="398"/>
      <x:c r="I52" s="398"/>
      <x:c r="J52" s="398"/>
      <x:c r="K52" s="398"/>
      <x:c r="L52" s="398"/>
      <x:c r="M52" s="3"/>
      <x:c r="N52" s="3"/>
      <x:c r="O52" s="3"/>
      <x:c r="P52" s="3"/>
      <x:c r="Q52" s="3"/>
      <x:c r="R52" s="3"/>
    </x:row>
    <x:row r="53" ht="21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  <x:c r="Q53" s="3"/>
      <x:c r="R53" s="3"/>
    </x:row>
    <x:row r="54" ht="21" customHeight="1">
      <x:c r="A54" s="400" t="str">
        <x:v>Application.OnTime（时间舍入到最接近的秒）</x:v>
      </x:c>
      <x:c r="B54" s="400"/>
      <x:c r="C54" s="400"/>
      <x:c r="D54" s="400"/>
      <x:c r="E54" s="400"/>
      <x:c r="F54" s="400"/>
      <x:c r="G54" s="400"/>
      <x:c r="H54" s="400"/>
      <x:c r="I54" s="400"/>
      <x:c r="J54" s="400"/>
      <x:c r="K54" s="400"/>
      <x:c r="L54" s="400"/>
      <x:c r="M54" s="3"/>
      <x:c r="N54" s="3"/>
      <x:c r="O54" s="3"/>
      <x:c r="P54" s="3"/>
      <x:c r="Q54" s="3"/>
      <x:c r="R54" s="3"/>
    </x:row>
    <x:row r="55" ht="21" customHeight="1">
      <x:c r="A55" s="402" t="str">
        <x:v>https://learn.microsoft.com/en-us/office/vba/api/excel.application.ontime</x:v>
      </x:c>
      <x:c r="B55" s="402"/>
      <x:c r="C55" s="402"/>
      <x:c r="D55" s="402"/>
      <x:c r="E55" s="402"/>
      <x:c r="F55" s="402"/>
      <x:c r="G55" s="402"/>
      <x:c r="H55" s="402"/>
      <x:c r="I55" s="402"/>
      <x:c r="J55" s="402"/>
      <x:c r="K55" s="402"/>
      <x:c r="L55" s="402"/>
      <x:c r="M55" s="3"/>
      <x:c r="N55" s="3"/>
      <x:c r="O55" s="3"/>
      <x:c r="P55" s="3"/>
      <x:c r="Q55" s="3"/>
      <x:c r="R55" s="3"/>
    </x:row>
    <x:row r="56" ht="21" customHeight="1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  <x:c r="Q56" s="3"/>
      <x:c r="R56" s="3"/>
    </x:row>
    <x:row r="57" ht="21" customHeight="1">
      <x:c r="A57" s="400" t="str">
        <x:v>Excel 网页版不运行 VBA</x:v>
      </x:c>
      <x:c r="B57" s="400"/>
      <x:c r="C57" s="400"/>
      <x:c r="D57" s="400"/>
      <x:c r="E57" s="400"/>
      <x:c r="F57" s="400"/>
      <x:c r="G57" s="400"/>
      <x:c r="H57" s="400"/>
      <x:c r="I57" s="400"/>
      <x:c r="J57" s="400"/>
      <x:c r="K57" s="400"/>
      <x:c r="L57" s="400"/>
      <x:c r="M57" s="3"/>
      <x:c r="N57" s="3"/>
      <x:c r="O57" s="3"/>
      <x:c r="P57" s="3"/>
      <x:c r="Q57" s="3"/>
      <x:c r="R57" s="3"/>
    </x:row>
    <x:row r="58" ht="21" customHeight="1">
      <x:c r="A58" s="402" t="str">
        <x:v>https://support.microsoft.com/en-us/excel/work-with-vba-macros-in-excel-for-the-web</x:v>
      </x:c>
      <x:c r="B58" s="402"/>
      <x:c r="C58" s="402"/>
      <x:c r="D58" s="402"/>
      <x:c r="E58" s="402"/>
      <x:c r="F58" s="402"/>
      <x:c r="G58" s="402"/>
      <x:c r="H58" s="402"/>
      <x:c r="I58" s="402"/>
      <x:c r="J58" s="402"/>
      <x:c r="K58" s="402"/>
      <x:c r="L58" s="402"/>
      <x:c r="M58" s="3"/>
      <x:c r="N58" s="3"/>
      <x:c r="O58" s="3"/>
      <x:c r="P58" s="3"/>
      <x:c r="Q58" s="3"/>
      <x:c r="R58" s="3"/>
    </x:row>
    <x:row r="59" ht="21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  <x:c r="Q59" s="3"/>
      <x:c r="R59" s="3"/>
    </x:row>
    <x:row r="60" ht="21" customHeight="1">
      <x:c r="A60" s="400" t="str">
        <x:v>仅启用可信文件中的宏</x:v>
      </x:c>
      <x:c r="B60" s="400"/>
      <x:c r="C60" s="400"/>
      <x:c r="D60" s="400"/>
      <x:c r="E60" s="400"/>
      <x:c r="F60" s="400"/>
      <x:c r="G60" s="400"/>
      <x:c r="H60" s="400"/>
      <x:c r="I60" s="400"/>
      <x:c r="J60" s="400"/>
      <x:c r="K60" s="400"/>
      <x:c r="L60" s="400"/>
      <x:c r="M60" s="3"/>
      <x:c r="N60" s="3"/>
      <x:c r="O60" s="3"/>
      <x:c r="P60" s="3"/>
      <x:c r="Q60" s="3"/>
      <x:c r="R60" s="3"/>
    </x:row>
    <x:row r="61">
      <x:c r="A61" s="404" t="str">
        <x:v>https://support.microsoft.com/en-us/office/vba/enable-or-disable-macros-in-microsoft-365-files</x:v>
      </x:c>
      <x:c r="B61" s="404"/>
      <x:c r="C61" s="404"/>
      <x:c r="D61" s="404"/>
      <x:c r="E61" s="404"/>
      <x:c r="F61" s="404"/>
      <x:c r="G61" s="404"/>
      <x:c r="H61" s="404"/>
      <x:c r="I61" s="404"/>
      <x:c r="J61" s="404"/>
      <x:c r="K61" s="404"/>
      <x:c r="L61" s="404"/>
    </x:row>
  </x:sheetData>
  <x:mergeCells>
    <x:mergeCell ref="A1:L2"/>
    <x:mergeCell ref="A3:L4"/>
    <x:mergeCell ref="A6:L6"/>
    <x:mergeCell ref="A7:L9"/>
    <x:mergeCell ref="A11:L11"/>
    <x:mergeCell ref="A12:L15"/>
    <x:mergeCell ref="A17:L17"/>
    <x:mergeCell ref="A18:L21"/>
    <x:mergeCell ref="A23:L23"/>
    <x:mergeCell ref="A24:L27"/>
    <x:mergeCell ref="A29:L29"/>
    <x:mergeCell ref="A30:L33"/>
    <x:mergeCell ref="A35:L35"/>
    <x:mergeCell ref="A36:L39"/>
    <x:mergeCell ref="A41:L41"/>
    <x:mergeCell ref="A42:L44"/>
    <x:mergeCell ref="A46:L46"/>
    <x:mergeCell ref="A47:L50"/>
    <x:mergeCell ref="A52:L52"/>
    <x:mergeCell ref="A54:L54"/>
    <x:mergeCell ref="A55:L55"/>
    <x:mergeCell ref="A57:L57"/>
    <x:mergeCell ref="A58:L58"/>
    <x:mergeCell ref="A60:L60"/>
    <x:mergeCell ref="A61:L61"/>
  </x:mergeCells>
  <x:pageMargins left="0.7" right="0.7" top="0.75" bottom="0.75" header="0.3" footer="0.3"/>
</x:worksheet>
</file>